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/>
  <bookViews>
    <workbookView xWindow="-120" yWindow="-120" windowWidth="19440" windowHeight="13290"/>
  </bookViews>
  <sheets>
    <sheet name="СП 16 мм брус" sheetId="14" r:id="rId1"/>
    <sheet name="Нормы расхода" sheetId="1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4"/>
  <c r="E29"/>
  <c r="G29" s="1"/>
  <c r="H29" s="1"/>
  <c r="E28"/>
  <c r="G28" s="1"/>
  <c r="H28" s="1"/>
  <c r="X12" i="13"/>
  <c r="Y12"/>
  <c r="Z12"/>
  <c r="AA12"/>
  <c r="Q12"/>
  <c r="R12"/>
  <c r="S12"/>
  <c r="T12"/>
  <c r="J12"/>
  <c r="K12"/>
  <c r="L12"/>
  <c r="M12"/>
  <c r="C12"/>
  <c r="D12"/>
  <c r="E12"/>
  <c r="F12"/>
  <c r="AB11"/>
  <c r="U11"/>
  <c r="N11"/>
  <c r="N21" s="1"/>
  <c r="G11"/>
  <c r="M26"/>
  <c r="E32" i="14" s="1"/>
  <c r="G32" s="1"/>
  <c r="H32" s="1"/>
  <c r="X17" i="13"/>
  <c r="Y17" s="1"/>
  <c r="Q17"/>
  <c r="Q18" s="1"/>
  <c r="J17"/>
  <c r="K17" s="1"/>
  <c r="C17"/>
  <c r="D17" s="1"/>
  <c r="Q4"/>
  <c r="R4" s="1"/>
  <c r="I22" i="14"/>
  <c r="E22" s="1"/>
  <c r="G22" s="1"/>
  <c r="H22" s="1"/>
  <c r="I18"/>
  <c r="E18"/>
  <c r="G18" s="1"/>
  <c r="H18" s="1"/>
  <c r="I14"/>
  <c r="E14" s="1"/>
  <c r="I10"/>
  <c r="E10" s="1"/>
  <c r="G26" i="13"/>
  <c r="H26" s="1"/>
  <c r="C26"/>
  <c r="C27" s="1"/>
  <c r="D27" s="1"/>
  <c r="C6"/>
  <c r="R17"/>
  <c r="U17" s="1"/>
  <c r="F6"/>
  <c r="G6"/>
  <c r="H6"/>
  <c r="J6"/>
  <c r="K6"/>
  <c r="L6"/>
  <c r="E33" i="14"/>
  <c r="G33" s="1"/>
  <c r="D22" i="13"/>
  <c r="E36" i="14" s="1"/>
  <c r="D20" i="13"/>
  <c r="G4" i="14"/>
  <c r="X13" i="13"/>
  <c r="Y13"/>
  <c r="Z13"/>
  <c r="AA13"/>
  <c r="Q13"/>
  <c r="R13"/>
  <c r="S13"/>
  <c r="T13"/>
  <c r="J13"/>
  <c r="K13"/>
  <c r="L13"/>
  <c r="M13"/>
  <c r="C13"/>
  <c r="D13"/>
  <c r="E13"/>
  <c r="F13"/>
  <c r="G41" i="14"/>
  <c r="H41" s="1"/>
  <c r="G40"/>
  <c r="H40" s="1"/>
  <c r="G38"/>
  <c r="H38" s="1"/>
  <c r="G37"/>
  <c r="H37" s="1"/>
  <c r="X18" i="13"/>
  <c r="AB12" l="1"/>
  <c r="U12"/>
  <c r="U22" s="1"/>
  <c r="U13"/>
  <c r="G27"/>
  <c r="H27" s="1"/>
  <c r="G12"/>
  <c r="G13"/>
  <c r="N13"/>
  <c r="AB21"/>
  <c r="AB13"/>
  <c r="N12"/>
  <c r="H33" i="14"/>
  <c r="G21" i="13"/>
  <c r="C18"/>
  <c r="E39" i="14"/>
  <c r="G39" s="1"/>
  <c r="E30"/>
  <c r="G30" s="1"/>
  <c r="H30" s="1"/>
  <c r="N17" i="13"/>
  <c r="M17"/>
  <c r="K18"/>
  <c r="L17"/>
  <c r="G14" i="14"/>
  <c r="H14" s="1"/>
  <c r="D18" i="13"/>
  <c r="E17"/>
  <c r="G17"/>
  <c r="F17"/>
  <c r="Y18"/>
  <c r="Z17"/>
  <c r="AB17"/>
  <c r="AA17"/>
  <c r="G36" i="14"/>
  <c r="H36" s="1"/>
  <c r="U3" i="13"/>
  <c r="U4"/>
  <c r="R18"/>
  <c r="D26"/>
  <c r="G10" i="14"/>
  <c r="H10" s="1"/>
  <c r="E23"/>
  <c r="U21" i="13"/>
  <c r="J18"/>
  <c r="AB22"/>
  <c r="S17"/>
  <c r="G5" i="14"/>
  <c r="M3" i="13"/>
  <c r="E34" i="14"/>
  <c r="T17" i="13"/>
  <c r="E19" i="14" l="1"/>
  <c r="G19" s="1"/>
  <c r="H19" s="1"/>
  <c r="G21" s="1"/>
  <c r="H21" s="1"/>
  <c r="E21"/>
  <c r="E15"/>
  <c r="G15" s="1"/>
  <c r="N22" i="13"/>
  <c r="E11" i="14"/>
  <c r="G11" s="1"/>
  <c r="H11" s="1"/>
  <c r="G22" i="13"/>
  <c r="E31" i="14"/>
  <c r="G31" s="1"/>
  <c r="H31" s="1"/>
  <c r="H39"/>
  <c r="N18" i="13"/>
  <c r="M18"/>
  <c r="L18"/>
  <c r="E25" i="14"/>
  <c r="Z18" i="13"/>
  <c r="AB18"/>
  <c r="AA18"/>
  <c r="E26" i="14"/>
  <c r="G23"/>
  <c r="H23" s="1"/>
  <c r="G25" s="1"/>
  <c r="G34"/>
  <c r="H34" s="1"/>
  <c r="T18" i="13"/>
  <c r="S18"/>
  <c r="U18"/>
  <c r="E18"/>
  <c r="G18"/>
  <c r="F18"/>
  <c r="E17" i="14" l="1"/>
  <c r="H15"/>
  <c r="G17" s="1"/>
  <c r="E13"/>
  <c r="H25"/>
  <c r="E16"/>
  <c r="G26"/>
  <c r="H26" s="1"/>
  <c r="E24"/>
  <c r="G13"/>
  <c r="H13" s="1"/>
  <c r="E12"/>
  <c r="E20"/>
  <c r="H17" l="1"/>
  <c r="G16"/>
  <c r="H16" s="1"/>
  <c r="G24"/>
  <c r="H24"/>
  <c r="G20"/>
  <c r="H20" s="1"/>
  <c r="G12"/>
  <c r="H12" s="1"/>
</calcChain>
</file>

<file path=xl/comments1.xml><?xml version="1.0" encoding="utf-8"?>
<comments xmlns="http://schemas.openxmlformats.org/spreadsheetml/2006/main">
  <authors>
    <author>gp</author>
    <author>KEG</author>
    <author>Karkas-NB1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Сегодняшнюю дату можно добавить сочетанием клавиш CTRL+SHIFT+4</t>
        </r>
      </text>
    </comment>
    <comment ref="B8" authorId="1">
      <text>
        <r>
          <rPr>
            <b/>
            <sz val="9"/>
            <color indexed="81"/>
            <rFont val="Tahoma"/>
            <family val="2"/>
            <charset val="204"/>
          </rPr>
          <t>KEG:</t>
        </r>
        <r>
          <rPr>
            <sz val="9"/>
            <color indexed="81"/>
            <rFont val="Tahoma"/>
            <family val="2"/>
            <charset val="204"/>
          </rPr>
          <t xml:space="preserve">
заполняет инженер</t>
        </r>
      </text>
    </comment>
    <comment ref="C10" authorId="2">
      <text>
        <r>
          <rPr>
            <b/>
            <sz val="9"/>
            <color indexed="81"/>
            <rFont val="Tahoma"/>
            <family val="2"/>
            <charset val="204"/>
          </rPr>
          <t>Панели должны быть кратно 2 шт</t>
        </r>
      </text>
    </comment>
    <comment ref="C14" authorId="2">
      <text>
        <r>
          <rPr>
            <b/>
            <sz val="9"/>
            <color indexed="81"/>
            <rFont val="Tahoma"/>
            <family val="2"/>
            <charset val="204"/>
          </rPr>
          <t>Панели должны быть кратно 2 шт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8" authorId="2">
      <text>
        <r>
          <rPr>
            <b/>
            <sz val="9"/>
            <color indexed="81"/>
            <rFont val="Tahoma"/>
            <family val="2"/>
            <charset val="204"/>
          </rPr>
          <t>Панели должны быть кратно 2 шт</t>
        </r>
      </text>
    </comment>
    <comment ref="C22" authorId="2">
      <text>
        <r>
          <rPr>
            <b/>
            <sz val="9"/>
            <color indexed="81"/>
            <rFont val="Tahoma"/>
            <family val="2"/>
            <charset val="204"/>
          </rPr>
          <t>Панели должны быть кратно 2 шт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  <charset val="204"/>
          </rPr>
          <t>Профили должны быть кратны 3 метрам</t>
        </r>
      </text>
    </comment>
    <comment ref="C29" authorId="2">
      <text>
        <r>
          <rPr>
            <b/>
            <sz val="9"/>
            <color indexed="81"/>
            <rFont val="Tahoma"/>
            <family val="2"/>
            <charset val="204"/>
          </rPr>
          <t>Профили должны быть кратны 3 метрам</t>
        </r>
      </text>
    </comment>
    <comment ref="C30" authorId="2">
      <text>
        <r>
          <rPr>
            <b/>
            <sz val="9"/>
            <color indexed="81"/>
            <rFont val="Tahoma"/>
            <family val="2"/>
            <charset val="204"/>
          </rPr>
          <t>Кратно длине планки по каталогу</t>
        </r>
      </text>
    </comment>
    <comment ref="C31" authorId="2">
      <text>
        <r>
          <rPr>
            <b/>
            <sz val="9"/>
            <color indexed="81"/>
            <rFont val="Tahoma"/>
            <family val="2"/>
            <charset val="204"/>
          </rPr>
          <t>Кратно длине планки по каталогу</t>
        </r>
      </text>
    </comment>
    <comment ref="C32" authorId="2">
      <text>
        <r>
          <rPr>
            <b/>
            <sz val="9"/>
            <color indexed="81"/>
            <rFont val="Tahoma"/>
            <family val="2"/>
            <charset val="204"/>
          </rPr>
          <t>Кратно длине планки по каталогу</t>
        </r>
      </text>
    </comment>
    <comment ref="C33" authorId="2">
      <text>
        <r>
          <rPr>
            <b/>
            <sz val="9"/>
            <color indexed="81"/>
            <rFont val="Tahoma"/>
            <family val="2"/>
            <charset val="204"/>
          </rPr>
          <t>Кратно длине планки по каталогу</t>
        </r>
      </text>
    </comment>
    <comment ref="C34" authorId="2">
      <text>
        <r>
          <rPr>
            <sz val="9"/>
            <color indexed="81"/>
            <rFont val="Tahoma"/>
            <family val="2"/>
            <charset val="204"/>
          </rPr>
          <t xml:space="preserve">в упаковке 70 кляммеров
</t>
        </r>
      </text>
    </comment>
  </commentList>
</comments>
</file>

<file path=xl/sharedStrings.xml><?xml version="1.0" encoding="utf-8"?>
<sst xmlns="http://schemas.openxmlformats.org/spreadsheetml/2006/main" count="203" uniqueCount="113">
  <si>
    <t>№</t>
  </si>
  <si>
    <t>Наименование</t>
  </si>
  <si>
    <t>Ед. изм.</t>
  </si>
  <si>
    <t>Облицовка</t>
  </si>
  <si>
    <t>Элементы подсистемы</t>
  </si>
  <si>
    <t>м.п.</t>
  </si>
  <si>
    <t>шт.</t>
  </si>
  <si>
    <t>Дата:</t>
  </si>
  <si>
    <t>Материал подсистемы:</t>
  </si>
  <si>
    <t>CRM №</t>
  </si>
  <si>
    <t>Артикул</t>
  </si>
  <si>
    <t>Краска 1</t>
  </si>
  <si>
    <t>Праймер 1</t>
  </si>
  <si>
    <t>Краска 2</t>
  </si>
  <si>
    <t>Праймер 2</t>
  </si>
  <si>
    <t>Шпатлёвка</t>
  </si>
  <si>
    <t xml:space="preserve">Стыковочная планка </t>
  </si>
  <si>
    <t>Стыковочная планка односторонняя</t>
  </si>
  <si>
    <t>Доборные элементы</t>
  </si>
  <si>
    <t>Подшивка карнизов</t>
  </si>
  <si>
    <t>Отливы проемов (оц/пп 0,5мм)</t>
  </si>
  <si>
    <t>Капельник (оц/пп 0,5мм)</t>
  </si>
  <si>
    <t>Парапет (если имеется) (оц/пп 0,7мм)</t>
  </si>
  <si>
    <t>Заказчик (Адрес):</t>
  </si>
  <si>
    <t>[м.кв.]</t>
  </si>
  <si>
    <t>Кол-во
(без запаса)</t>
  </si>
  <si>
    <t>Брус</t>
  </si>
  <si>
    <t>B4901</t>
  </si>
  <si>
    <t>Брус основной</t>
  </si>
  <si>
    <t>Брус промежуточный</t>
  </si>
  <si>
    <t>Краска 3</t>
  </si>
  <si>
    <t>Праймер 3</t>
  </si>
  <si>
    <t>Краска 4</t>
  </si>
  <si>
    <t>Праймер 4</t>
  </si>
  <si>
    <t>Внешние углы (под запил)</t>
  </si>
  <si>
    <t>Запас 5%</t>
  </si>
  <si>
    <t>Итого</t>
  </si>
  <si>
    <t>Кол-во
по факту</t>
  </si>
  <si>
    <t>Площадь стен под облицовку</t>
  </si>
  <si>
    <t>Площадь фасадных материалов с учетом вылета</t>
  </si>
  <si>
    <t>Кол-во панель 6, шт</t>
  </si>
  <si>
    <t>Кол-во панель 5, шт</t>
  </si>
  <si>
    <t>Кол-во панель 4, шт</t>
  </si>
  <si>
    <t>B10052     (на 16мм)</t>
  </si>
  <si>
    <t>B271 (на 14мм)</t>
  </si>
  <si>
    <t>Кол-во панель 3, шт</t>
  </si>
  <si>
    <t>Кол-во панель 2, шт</t>
  </si>
  <si>
    <t>Кол-во панель 1, шт</t>
  </si>
  <si>
    <t>B1005              (на 16мм)</t>
  </si>
  <si>
    <t>Итог, шт</t>
  </si>
  <si>
    <t>L примыканий к отмостке, мм</t>
  </si>
  <si>
    <t>L внутренних углов, мм</t>
  </si>
  <si>
    <t>L двухсторонних швов, мм</t>
  </si>
  <si>
    <t>Итог, уп</t>
  </si>
  <si>
    <t>На 16мм</t>
  </si>
  <si>
    <t>На 14мм</t>
  </si>
  <si>
    <t>Площадь, м2</t>
  </si>
  <si>
    <t>Количество панелей</t>
  </si>
  <si>
    <t>Туба 600мл (на 16мм)</t>
  </si>
  <si>
    <t>Туба 320мл (на 14мм)</t>
  </si>
  <si>
    <t>L откосов, мм</t>
  </si>
  <si>
    <t>L внешних углов, мм</t>
  </si>
  <si>
    <t>Откосы, м.п.</t>
  </si>
  <si>
    <t>Краска верхний слой, шт</t>
  </si>
  <si>
    <t>Краска основной слой, шт</t>
  </si>
  <si>
    <t>Внешние углы, м.п.</t>
  </si>
  <si>
    <r>
      <rPr>
        <b/>
        <sz val="11"/>
        <color theme="1"/>
        <rFont val="Calibri"/>
        <family val="2"/>
        <charset val="204"/>
        <scheme val="minor"/>
      </rPr>
      <t xml:space="preserve">S  </t>
    </r>
    <r>
      <rPr>
        <b/>
        <sz val="8"/>
        <color theme="1"/>
        <rFont val="Calibri"/>
        <family val="2"/>
        <charset val="204"/>
        <scheme val="minor"/>
      </rPr>
      <t>с учетом облицовки</t>
    </r>
  </si>
  <si>
    <r>
      <t>S</t>
    </r>
    <r>
      <rPr>
        <sz val="8"/>
        <color theme="1"/>
        <rFont val="Calibri"/>
        <family val="2"/>
        <charset val="204"/>
        <scheme val="minor"/>
      </rPr>
      <t xml:space="preserve"> основания</t>
    </r>
  </si>
  <si>
    <t>B271K(на 14мм)</t>
  </si>
  <si>
    <t>Панель 1, 455х3030х16</t>
  </si>
  <si>
    <t>Герметик 600мл.</t>
  </si>
  <si>
    <t>Панель 2, 455х3030х16</t>
  </si>
  <si>
    <t>Панель 3, 455х3030х16</t>
  </si>
  <si>
    <t>Панель 4, 455х3030х16</t>
  </si>
  <si>
    <t>B10052</t>
  </si>
  <si>
    <t>Стартовая скоба</t>
  </si>
  <si>
    <t>B10057</t>
  </si>
  <si>
    <t>Стартовая планка (верт. Монтаж)</t>
  </si>
  <si>
    <t>B1005</t>
  </si>
  <si>
    <t>Кляммер (упаковка 70 шт)</t>
  </si>
  <si>
    <t>уп.</t>
  </si>
  <si>
    <t>Туба 600мл (на 18мм)</t>
  </si>
  <si>
    <t>Инструкция</t>
  </si>
  <si>
    <t>Ячейки, связанные формулой с заполняемой, подсвечиваются цветом при добавлении значения в заполняемую ячейку</t>
  </si>
  <si>
    <t>Заполнять только ячейки такого цвета!</t>
  </si>
  <si>
    <r>
      <t>S</t>
    </r>
    <r>
      <rPr>
        <sz val="8"/>
        <color theme="1"/>
        <rFont val="Calibri"/>
        <family val="2"/>
        <charset val="204"/>
        <scheme val="minor"/>
      </rPr>
      <t xml:space="preserve"> откосов</t>
    </r>
  </si>
  <si>
    <r>
      <t xml:space="preserve">S </t>
    </r>
    <r>
      <rPr>
        <sz val="8"/>
        <color theme="1"/>
        <rFont val="Calibri"/>
        <family val="2"/>
        <charset val="204"/>
        <scheme val="minor"/>
      </rPr>
      <t>вылета</t>
    </r>
  </si>
  <si>
    <t>СПЕЦИФИКАЦИЯ 
на фасадные материалы</t>
  </si>
  <si>
    <t>Кляммеры</t>
  </si>
  <si>
    <t>Шпатлевка</t>
  </si>
  <si>
    <t>Площади под облицовку</t>
  </si>
  <si>
    <t>Перерасход ФЦП, %</t>
  </si>
  <si>
    <t>Герметик 1</t>
  </si>
  <si>
    <t>Герметик 2</t>
  </si>
  <si>
    <t>Герметик 3</t>
  </si>
  <si>
    <t>Герметик 4</t>
  </si>
  <si>
    <t>Двухсторонняя стыковочная планка</t>
  </si>
  <si>
    <t>Односторонняя стыковочная планка</t>
  </si>
  <si>
    <t>Стартовая планка</t>
  </si>
  <si>
    <t>Кол-во, шт</t>
  </si>
  <si>
    <t>B2715 (на 16мм)</t>
  </si>
  <si>
    <t>B2715</t>
  </si>
  <si>
    <t>B275K</t>
  </si>
  <si>
    <t>B275K (на 16мм)</t>
  </si>
  <si>
    <t>Откосы проемов (запил)</t>
  </si>
  <si>
    <t>NW3752A</t>
  </si>
  <si>
    <t>NH4534A</t>
  </si>
  <si>
    <t>B93HB1438AA</t>
  </si>
  <si>
    <t>B84495</t>
  </si>
  <si>
    <t>B</t>
  </si>
  <si>
    <t>B96L2417AA</t>
  </si>
  <si>
    <t>B842910A</t>
  </si>
  <si>
    <t>A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</si>
</sst>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[$-F800]dddd\,\ mmmm\ dd\,\ yyyy"/>
  </numFmts>
  <fonts count="35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u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5"/>
      <name val="Calibri"/>
      <family val="2"/>
      <charset val="204"/>
      <scheme val="minor"/>
    </font>
    <font>
      <sz val="10"/>
      <color theme="4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color theme="9" tint="-0.249977111117893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b/>
      <sz val="11"/>
      <color rgb="FF8C4B0A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3E8F3"/>
        <bgColor indexed="64"/>
      </patternFill>
    </fill>
    <fill>
      <patternFill patternType="solid">
        <fgColor rgb="FFA9E9A9"/>
        <bgColor indexed="64"/>
      </patternFill>
    </fill>
    <fill>
      <patternFill patternType="solid">
        <fgColor rgb="FFDDB08B"/>
        <bgColor indexed="64"/>
      </patternFill>
    </fill>
    <fill>
      <patternFill patternType="solid">
        <fgColor rgb="FFFED28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Alignment="1">
      <alignment horizontal="center" vertical="center"/>
    </xf>
    <xf numFmtId="0" fontId="0" fillId="0" borderId="8" xfId="0" applyBorder="1"/>
    <xf numFmtId="0" fontId="17" fillId="0" borderId="14" xfId="0" applyFont="1" applyBorder="1"/>
    <xf numFmtId="0" fontId="21" fillId="0" borderId="13" xfId="0" applyFont="1" applyBorder="1" applyAlignment="1">
      <alignment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/>
    <xf numFmtId="0" fontId="17" fillId="0" borderId="16" xfId="0" applyFont="1" applyBorder="1"/>
    <xf numFmtId="0" fontId="21" fillId="0" borderId="21" xfId="0" applyFont="1" applyBorder="1"/>
    <xf numFmtId="0" fontId="0" fillId="0" borderId="0" xfId="0" applyAlignment="1">
      <alignment vertical="center"/>
    </xf>
    <xf numFmtId="0" fontId="21" fillId="0" borderId="13" xfId="0" applyFont="1" applyBorder="1"/>
    <xf numFmtId="0" fontId="0" fillId="0" borderId="7" xfId="0" applyBorder="1"/>
    <xf numFmtId="0" fontId="23" fillId="0" borderId="0" xfId="0" applyFont="1" applyAlignment="1">
      <alignment horizontal="center" vertical="center" wrapText="1"/>
    </xf>
    <xf numFmtId="0" fontId="0" fillId="0" borderId="31" xfId="0" applyBorder="1"/>
    <xf numFmtId="0" fontId="24" fillId="0" borderId="0" xfId="0" applyFont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16" xfId="0" applyFont="1" applyBorder="1" applyAlignment="1">
      <alignment horizontal="right" vertical="center"/>
    </xf>
    <xf numFmtId="0" fontId="21" fillId="0" borderId="21" xfId="0" applyFont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 indent="1"/>
    </xf>
    <xf numFmtId="2" fontId="5" fillId="0" borderId="11" xfId="0" applyNumberFormat="1" applyFont="1" applyBorder="1" applyAlignment="1">
      <alignment horizontal="center" vertical="center"/>
    </xf>
    <xf numFmtId="2" fontId="19" fillId="0" borderId="16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 inden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35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1"/>
    </xf>
    <xf numFmtId="2" fontId="5" fillId="0" borderId="5" xfId="0" applyNumberFormat="1" applyFont="1" applyBorder="1" applyAlignment="1">
      <alignment horizontal="center" vertical="center"/>
    </xf>
    <xf numFmtId="2" fontId="19" fillId="0" borderId="6" xfId="0" applyNumberFormat="1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 indent="1"/>
    </xf>
    <xf numFmtId="2" fontId="5" fillId="0" borderId="8" xfId="0" applyNumberFormat="1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4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7" fillId="0" borderId="2" xfId="0" applyFont="1" applyBorder="1"/>
    <xf numFmtId="0" fontId="3" fillId="0" borderId="21" xfId="0" applyFont="1" applyBorder="1"/>
    <xf numFmtId="0" fontId="4" fillId="0" borderId="36" xfId="0" applyFont="1" applyBorder="1" applyAlignment="1">
      <alignment horizontal="center" vertical="center"/>
    </xf>
    <xf numFmtId="0" fontId="0" fillId="0" borderId="37" xfId="0" applyBorder="1"/>
    <xf numFmtId="0" fontId="0" fillId="0" borderId="10" xfId="0" applyBorder="1"/>
    <xf numFmtId="0" fontId="0" fillId="0" borderId="35" xfId="0" applyBorder="1"/>
    <xf numFmtId="0" fontId="0" fillId="0" borderId="4" xfId="0" applyBorder="1"/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20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4" fillId="0" borderId="2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/>
    </xf>
    <xf numFmtId="0" fontId="29" fillId="0" borderId="9" xfId="0" applyFont="1" applyBorder="1" applyAlignment="1">
      <alignment horizontal="right" vertical="center"/>
    </xf>
    <xf numFmtId="0" fontId="30" fillId="0" borderId="33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right" vertical="center"/>
    </xf>
    <xf numFmtId="0" fontId="28" fillId="0" borderId="7" xfId="0" applyFont="1" applyBorder="1"/>
    <xf numFmtId="0" fontId="29" fillId="0" borderId="15" xfId="0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9" fillId="0" borderId="38" xfId="0" applyFont="1" applyBorder="1"/>
    <xf numFmtId="0" fontId="29" fillId="0" borderId="9" xfId="0" applyFont="1" applyBorder="1"/>
    <xf numFmtId="0" fontId="28" fillId="0" borderId="7" xfId="0" applyFont="1" applyBorder="1" applyAlignment="1">
      <alignment wrapText="1"/>
    </xf>
    <xf numFmtId="0" fontId="31" fillId="0" borderId="32" xfId="0" applyFont="1" applyBorder="1" applyAlignment="1">
      <alignment horizontal="center" vertical="center" wrapText="1"/>
    </xf>
    <xf numFmtId="0" fontId="32" fillId="0" borderId="9" xfId="0" applyFont="1" applyBorder="1"/>
    <xf numFmtId="0" fontId="4" fillId="6" borderId="1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right" vertical="center"/>
    </xf>
    <xf numFmtId="0" fontId="11" fillId="3" borderId="9" xfId="0" applyFont="1" applyFill="1" applyBorder="1"/>
    <xf numFmtId="2" fontId="11" fillId="3" borderId="48" xfId="0" applyNumberFormat="1" applyFont="1" applyFill="1" applyBorder="1" applyAlignment="1">
      <alignment horizontal="center" vertical="center"/>
    </xf>
    <xf numFmtId="2" fontId="11" fillId="3" borderId="8" xfId="0" applyNumberFormat="1" applyFont="1" applyFill="1" applyBorder="1" applyAlignment="1">
      <alignment horizontal="center" vertical="center"/>
    </xf>
    <xf numFmtId="2" fontId="11" fillId="3" borderId="9" xfId="0" applyNumberFormat="1" applyFont="1" applyFill="1" applyBorder="1" applyAlignment="1">
      <alignment horizontal="center" vertical="center"/>
    </xf>
    <xf numFmtId="0" fontId="11" fillId="3" borderId="13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11" fillId="3" borderId="8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0" xfId="0" applyFont="1" applyBorder="1" applyAlignment="1"/>
    <xf numFmtId="0" fontId="33" fillId="0" borderId="27" xfId="0" applyFont="1" applyBorder="1" applyAlignment="1">
      <alignment horizontal="right" vertical="center"/>
    </xf>
    <xf numFmtId="0" fontId="33" fillId="0" borderId="20" xfId="0" applyFont="1" applyBorder="1" applyAlignment="1">
      <alignment horizontal="right" vertical="center"/>
    </xf>
    <xf numFmtId="0" fontId="4" fillId="9" borderId="16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3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2" fillId="6" borderId="11" xfId="0" applyFont="1" applyFill="1" applyBorder="1" applyAlignment="1">
      <alignment horizontal="left" vertical="center" wrapText="1"/>
    </xf>
    <xf numFmtId="0" fontId="22" fillId="6" borderId="34" xfId="0" applyFont="1" applyFill="1" applyBorder="1" applyAlignment="1">
      <alignment horizontal="left" vertical="center" wrapText="1"/>
    </xf>
    <xf numFmtId="0" fontId="22" fillId="7" borderId="21" xfId="0" applyFont="1" applyFill="1" applyBorder="1" applyAlignment="1">
      <alignment horizontal="left" vertical="center" wrapText="1"/>
    </xf>
    <xf numFmtId="0" fontId="22" fillId="7" borderId="11" xfId="0" applyFont="1" applyFill="1" applyBorder="1" applyAlignment="1">
      <alignment horizontal="left" vertical="center" wrapText="1"/>
    </xf>
    <xf numFmtId="0" fontId="22" fillId="9" borderId="21" xfId="0" applyFont="1" applyFill="1" applyBorder="1" applyAlignment="1">
      <alignment horizontal="left" vertical="center" wrapText="1"/>
    </xf>
    <xf numFmtId="0" fontId="22" fillId="9" borderId="11" xfId="0" applyFont="1" applyFill="1" applyBorder="1" applyAlignment="1">
      <alignment horizontal="left" vertical="center" wrapText="1"/>
    </xf>
    <xf numFmtId="0" fontId="22" fillId="8" borderId="11" xfId="0" applyFont="1" applyFill="1" applyBorder="1" applyAlignment="1">
      <alignment horizontal="left" vertical="center" wrapText="1"/>
    </xf>
    <xf numFmtId="0" fontId="22" fillId="8" borderId="2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2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4" fillId="0" borderId="45" xfId="0" applyFont="1" applyBorder="1" applyAlignment="1">
      <alignment horizontal="center" vertical="center" wrapText="1"/>
    </xf>
    <xf numFmtId="1" fontId="26" fillId="0" borderId="25" xfId="0" applyNumberFormat="1" applyFont="1" applyFill="1" applyBorder="1"/>
    <xf numFmtId="0" fontId="29" fillId="0" borderId="45" xfId="0" applyFont="1" applyBorder="1"/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right" vertical="center" wrapText="1" indent="1"/>
    </xf>
    <xf numFmtId="165" fontId="11" fillId="0" borderId="0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8" fillId="0" borderId="52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right"/>
    </xf>
    <xf numFmtId="0" fontId="29" fillId="0" borderId="9" xfId="0" applyFont="1" applyBorder="1" applyAlignment="1">
      <alignment horizontal="right"/>
    </xf>
    <xf numFmtId="0" fontId="3" fillId="7" borderId="25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7" fillId="0" borderId="1" xfId="0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3" fillId="0" borderId="2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9" borderId="25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8" borderId="25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2" fontId="34" fillId="3" borderId="25" xfId="0" applyNumberFormat="1" applyFont="1" applyFill="1" applyBorder="1" applyAlignment="1">
      <alignment horizontal="center" vertical="center" wrapText="1"/>
    </xf>
    <xf numFmtId="2" fontId="34" fillId="3" borderId="26" xfId="0" applyNumberFormat="1" applyFont="1" applyFill="1" applyBorder="1" applyAlignment="1">
      <alignment horizontal="center" vertical="center" wrapText="1"/>
    </xf>
    <xf numFmtId="2" fontId="34" fillId="3" borderId="27" xfId="0" applyNumberFormat="1" applyFont="1" applyFill="1" applyBorder="1" applyAlignment="1">
      <alignment horizontal="center" vertical="center" wrapText="1"/>
    </xf>
    <xf numFmtId="2" fontId="4" fillId="5" borderId="43" xfId="0" applyNumberFormat="1" applyFont="1" applyFill="1" applyBorder="1" applyAlignment="1">
      <alignment horizontal="center" vertical="center" wrapText="1"/>
    </xf>
    <xf numFmtId="2" fontId="4" fillId="5" borderId="0" xfId="0" applyNumberFormat="1" applyFont="1" applyFill="1" applyBorder="1" applyAlignment="1">
      <alignment horizontal="center" vertical="center" wrapText="1"/>
    </xf>
    <xf numFmtId="2" fontId="4" fillId="5" borderId="44" xfId="0" applyNumberFormat="1" applyFont="1" applyFill="1" applyBorder="1" applyAlignment="1">
      <alignment horizontal="center" vertical="center" wrapText="1"/>
    </xf>
    <xf numFmtId="2" fontId="4" fillId="5" borderId="41" xfId="0" applyNumberFormat="1" applyFont="1" applyFill="1" applyBorder="1" applyAlignment="1">
      <alignment horizontal="center" vertical="center" wrapText="1"/>
    </xf>
    <xf numFmtId="2" fontId="4" fillId="5" borderId="40" xfId="0" applyNumberFormat="1" applyFont="1" applyFill="1" applyBorder="1" applyAlignment="1">
      <alignment horizontal="center" vertical="center" wrapText="1"/>
    </xf>
    <xf numFmtId="2" fontId="4" fillId="5" borderId="42" xfId="0" applyNumberFormat="1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2" fontId="11" fillId="3" borderId="47" xfId="0" applyNumberFormat="1" applyFont="1" applyFill="1" applyBorder="1" applyAlignment="1">
      <alignment horizontal="center" vertical="center"/>
    </xf>
    <xf numFmtId="2" fontId="11" fillId="3" borderId="40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6" borderId="25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21">
    <dxf>
      <fill>
        <patternFill>
          <bgColor rgb="FFFFEBEB"/>
        </patternFill>
      </fill>
    </dxf>
    <dxf>
      <fill>
        <patternFill>
          <bgColor rgb="FFFFEBEB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E7EA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b/>
        <i val="0"/>
        <strike val="0"/>
        <u/>
        <color theme="0"/>
      </font>
      <fill>
        <patternFill patternType="solid"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8D8AE"/>
        </patternFill>
      </fill>
    </dxf>
    <dxf>
      <fill>
        <patternFill>
          <bgColor rgb="FFF8D8AE"/>
        </patternFill>
      </fill>
    </dxf>
    <dxf>
      <fill>
        <patternFill>
          <bgColor rgb="FFF8D8AE"/>
        </patternFill>
      </fill>
    </dxf>
    <dxf>
      <fill>
        <patternFill>
          <bgColor theme="9" tint="0.79998168889431442"/>
        </patternFill>
      </fill>
    </dxf>
    <dxf>
      <fill>
        <patternFill>
          <bgColor rgb="FFFFEBEB"/>
        </patternFill>
      </fill>
    </dxf>
    <dxf>
      <fill>
        <patternFill>
          <bgColor theme="8" tint="0.79998168889431442"/>
        </patternFill>
      </fill>
    </dxf>
    <dxf>
      <fill>
        <patternFill>
          <bgColor rgb="FFFFAFFF"/>
        </patternFill>
      </fill>
    </dxf>
    <dxf>
      <fill>
        <patternFill>
          <bgColor rgb="FFA7C2FF"/>
        </patternFill>
      </fill>
    </dxf>
    <dxf>
      <fill>
        <patternFill>
          <bgColor rgb="FFDDB08B"/>
        </patternFill>
      </fill>
    </dxf>
    <dxf>
      <fill>
        <patternFill>
          <bgColor rgb="FFFED282"/>
        </patternFill>
      </fill>
    </dxf>
    <dxf>
      <fill>
        <patternFill>
          <bgColor rgb="FFA9E9A9"/>
        </patternFill>
      </fill>
    </dxf>
    <dxf>
      <fill>
        <patternFill>
          <bgColor rgb="FFB3E8F3"/>
        </patternFill>
      </fill>
    </dxf>
    <dxf>
      <font>
        <b/>
        <i val="0"/>
      </font>
      <fill>
        <patternFill patternType="solid">
          <fgColor auto="1"/>
          <bgColor rgb="FF92D050"/>
        </patternFill>
      </fill>
    </dxf>
  </dxfs>
  <tableStyles count="0" defaultTableStyle="TableStyleMedium2" defaultPivotStyle="PivotStyleLight16"/>
  <colors>
    <mruColors>
      <color rgb="FFFF6565"/>
      <color rgb="FFFF5050"/>
      <color rgb="FFFFCC00"/>
      <color rgb="FFFFE7EA"/>
      <color rgb="FFFFE1E5"/>
      <color rgb="FFFFAFFF"/>
      <color rgb="FFA7C2FF"/>
      <color rgb="FF75A0FF"/>
      <color rgb="FFDDB08B"/>
      <color rgb="FFFED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480388</xdr:colOff>
      <xdr:row>42</xdr:row>
      <xdr:rowOff>91109</xdr:rowOff>
    </xdr:from>
    <xdr:to>
      <xdr:col>7</xdr:col>
      <xdr:colOff>604631</xdr:colOff>
      <xdr:row>42</xdr:row>
      <xdr:rowOff>91109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A091BBC2-00BF-4DF6-BD7A-B3C403368E37}"/>
            </a:ext>
          </a:extLst>
        </xdr:cNvPr>
        <xdr:cNvCxnSpPr/>
      </xdr:nvCxnSpPr>
      <xdr:spPr>
        <a:xfrm>
          <a:off x="3585538" y="7920659"/>
          <a:ext cx="2743618" cy="0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outlinePr summaryBelow="0"/>
  </sheetPr>
  <dimension ref="A1:I52"/>
  <sheetViews>
    <sheetView tabSelected="1" view="pageLayout" zoomScaleNormal="100" workbookViewId="0">
      <selection activeCell="G14" sqref="G14"/>
    </sheetView>
  </sheetViews>
  <sheetFormatPr defaultRowHeight="15" outlineLevelRow="1"/>
  <cols>
    <col min="1" max="1" width="4.28515625" style="67" customWidth="1" collapsed="1"/>
    <col min="2" max="2" width="9.7109375" style="67" customWidth="1"/>
    <col min="3" max="3" width="32.42578125" style="68" bestFit="1" customWidth="1" collapsed="1"/>
    <col min="4" max="4" width="5.28515625" style="67" bestFit="1" customWidth="1" collapsed="1"/>
    <col min="5" max="5" width="10.140625" style="70" customWidth="1" collapsed="1"/>
    <col min="6" max="6" width="10.140625" style="70" customWidth="1"/>
    <col min="7" max="7" width="10.140625" style="70" customWidth="1" collapsed="1"/>
    <col min="8" max="8" width="12.7109375" style="70" customWidth="1" collapsed="1"/>
    <col min="9" max="16384" width="9.140625" style="16"/>
  </cols>
  <sheetData>
    <row r="1" spans="1:9" ht="35.25" customHeight="1">
      <c r="A1" s="181" t="s">
        <v>87</v>
      </c>
      <c r="B1" s="181"/>
      <c r="C1" s="176"/>
      <c r="D1" s="176"/>
      <c r="E1" s="176"/>
      <c r="F1" s="176"/>
      <c r="G1" s="176"/>
      <c r="H1" s="176"/>
    </row>
    <row r="2" spans="1:9" ht="15.75" customHeight="1" thickBot="1">
      <c r="A2" s="182" t="s">
        <v>7</v>
      </c>
      <c r="B2" s="182"/>
      <c r="C2" s="182"/>
      <c r="D2" s="182"/>
      <c r="E2" s="183"/>
      <c r="F2" s="183"/>
      <c r="G2" s="183"/>
      <c r="H2" s="183"/>
      <c r="I2" s="4">
        <f ca="1">IF(E2=TODAY(),1,0)</f>
        <v>0</v>
      </c>
    </row>
    <row r="3" spans="1:9" ht="27.75" customHeight="1" thickBot="1">
      <c r="A3" s="184" t="s">
        <v>23</v>
      </c>
      <c r="B3" s="185"/>
      <c r="C3" s="186"/>
      <c r="D3" s="186"/>
      <c r="E3" s="186"/>
      <c r="F3" s="5" t="s">
        <v>9</v>
      </c>
      <c r="G3" s="187">
        <v>194409</v>
      </c>
      <c r="H3" s="188"/>
    </row>
    <row r="4" spans="1:9">
      <c r="A4" s="166" t="s">
        <v>38</v>
      </c>
      <c r="B4" s="167"/>
      <c r="C4" s="167"/>
      <c r="D4" s="167"/>
      <c r="E4" s="167"/>
      <c r="F4" s="168" t="s">
        <v>24</v>
      </c>
      <c r="G4" s="166">
        <f>'Нормы расхода'!B4</f>
        <v>154.36000000000001</v>
      </c>
      <c r="H4" s="170"/>
    </row>
    <row r="5" spans="1:9" ht="15.75" thickBot="1">
      <c r="A5" s="171" t="s">
        <v>39</v>
      </c>
      <c r="B5" s="172"/>
      <c r="C5" s="172"/>
      <c r="D5" s="172"/>
      <c r="E5" s="172"/>
      <c r="F5" s="169"/>
      <c r="G5" s="171">
        <f>'Нормы расхода'!C6</f>
        <v>174.02</v>
      </c>
      <c r="H5" s="173"/>
    </row>
    <row r="6" spans="1:9" ht="15" customHeight="1">
      <c r="A6" s="174" t="s">
        <v>8</v>
      </c>
      <c r="B6" s="174"/>
      <c r="C6" s="174"/>
      <c r="D6" s="175" t="s">
        <v>26</v>
      </c>
      <c r="E6" s="175"/>
      <c r="F6" s="175"/>
      <c r="G6" s="175"/>
      <c r="H6" s="175"/>
    </row>
    <row r="7" spans="1:9" ht="16.5" thickBot="1">
      <c r="A7" s="176"/>
      <c r="B7" s="176"/>
      <c r="C7" s="176"/>
      <c r="D7" s="176"/>
      <c r="E7" s="176"/>
      <c r="F7" s="176"/>
      <c r="G7" s="176"/>
      <c r="H7" s="176"/>
    </row>
    <row r="8" spans="1:9" s="1" customFormat="1" ht="30.75" customHeight="1" thickBot="1">
      <c r="A8" s="31" t="s">
        <v>0</v>
      </c>
      <c r="B8" s="32" t="s">
        <v>10</v>
      </c>
      <c r="C8" s="6" t="s">
        <v>1</v>
      </c>
      <c r="D8" s="6" t="s">
        <v>2</v>
      </c>
      <c r="E8" s="177" t="s">
        <v>25</v>
      </c>
      <c r="F8" s="177"/>
      <c r="G8" s="29" t="s">
        <v>35</v>
      </c>
      <c r="H8" s="7" t="s">
        <v>36</v>
      </c>
      <c r="I8" s="3" t="s">
        <v>37</v>
      </c>
    </row>
    <row r="9" spans="1:9" s="1" customFormat="1" ht="15" customHeight="1" thickBot="1">
      <c r="A9" s="178" t="s">
        <v>3</v>
      </c>
      <c r="B9" s="179"/>
      <c r="C9" s="179"/>
      <c r="D9" s="179"/>
      <c r="E9" s="179"/>
      <c r="F9" s="179"/>
      <c r="G9" s="179"/>
      <c r="H9" s="180"/>
    </row>
    <row r="10" spans="1:9" s="1" customFormat="1" ht="12.75" customHeight="1" outlineLevel="1">
      <c r="A10" s="33">
        <v>1</v>
      </c>
      <c r="B10" s="34" t="s">
        <v>105</v>
      </c>
      <c r="C10" s="35" t="s">
        <v>69</v>
      </c>
      <c r="D10" s="34" t="s">
        <v>6</v>
      </c>
      <c r="E10" s="162">
        <f>CEILING(I10, 2)</f>
        <v>84</v>
      </c>
      <c r="F10" s="162"/>
      <c r="G10" s="36">
        <f>CEILING('Нормы расхода'!F4*105%,2)-E10</f>
        <v>6</v>
      </c>
      <c r="H10" s="37">
        <f>SUM(E10:G10)</f>
        <v>90</v>
      </c>
      <c r="I10" s="8">
        <f>'Нормы расхода'!F4</f>
        <v>84</v>
      </c>
    </row>
    <row r="11" spans="1:9" s="1" customFormat="1" ht="12.75" customHeight="1" outlineLevel="1">
      <c r="A11" s="38">
        <v>2</v>
      </c>
      <c r="B11" s="39" t="s">
        <v>108</v>
      </c>
      <c r="C11" s="40" t="s">
        <v>70</v>
      </c>
      <c r="D11" s="41" t="s">
        <v>6</v>
      </c>
      <c r="E11" s="152">
        <f>'Нормы расхода'!G12</f>
        <v>8</v>
      </c>
      <c r="F11" s="152"/>
      <c r="G11" s="141">
        <f>CEILING(E11*105%,1)-E11</f>
        <v>1</v>
      </c>
      <c r="H11" s="37">
        <f t="shared" ref="H11:H34" si="0">SUM(E11:G11)</f>
        <v>9</v>
      </c>
    </row>
    <row r="12" spans="1:9" s="1" customFormat="1" ht="12.75" customHeight="1" outlineLevel="1">
      <c r="A12" s="38">
        <v>3</v>
      </c>
      <c r="B12" s="39" t="s">
        <v>107</v>
      </c>
      <c r="C12" s="40" t="s">
        <v>11</v>
      </c>
      <c r="D12" s="41" t="s">
        <v>6</v>
      </c>
      <c r="E12" s="152">
        <f>'Нормы расхода'!E18</f>
        <v>1</v>
      </c>
      <c r="F12" s="152"/>
      <c r="G12" s="142">
        <f t="shared" ref="G12:G24" si="1">CEILING(E12*105%,1)-E12</f>
        <v>1</v>
      </c>
      <c r="H12" s="37">
        <f t="shared" si="0"/>
        <v>2</v>
      </c>
    </row>
    <row r="13" spans="1:9" s="1" customFormat="1" ht="12.75" customHeight="1" outlineLevel="1">
      <c r="A13" s="38">
        <v>4</v>
      </c>
      <c r="B13" s="39" t="s">
        <v>109</v>
      </c>
      <c r="C13" s="40" t="s">
        <v>12</v>
      </c>
      <c r="D13" s="41" t="s">
        <v>6</v>
      </c>
      <c r="E13" s="152">
        <f>'Нормы расхода'!G22</f>
        <v>2</v>
      </c>
      <c r="F13" s="152"/>
      <c r="G13" s="142">
        <f>ROUNDUP(H11/5,0)-E13</f>
        <v>0</v>
      </c>
      <c r="H13" s="37">
        <f t="shared" si="0"/>
        <v>2</v>
      </c>
    </row>
    <row r="14" spans="1:9" s="1" customFormat="1" ht="12.75" customHeight="1" outlineLevel="1">
      <c r="A14" s="38">
        <v>5</v>
      </c>
      <c r="B14" s="41" t="s">
        <v>106</v>
      </c>
      <c r="C14" s="43" t="s">
        <v>71</v>
      </c>
      <c r="D14" s="41" t="s">
        <v>6</v>
      </c>
      <c r="E14" s="162">
        <f>CEILING(I14, 2)</f>
        <v>58</v>
      </c>
      <c r="F14" s="162"/>
      <c r="G14" s="142">
        <f>CEILING('Нормы расхода'!G4*105%,2)-E14</f>
        <v>2</v>
      </c>
      <c r="H14" s="37">
        <f t="shared" si="0"/>
        <v>60</v>
      </c>
      <c r="I14" s="8">
        <f>'Нормы расхода'!G4</f>
        <v>57</v>
      </c>
    </row>
    <row r="15" spans="1:9" s="1" customFormat="1" ht="12.75" customHeight="1" outlineLevel="1">
      <c r="A15" s="38">
        <v>6</v>
      </c>
      <c r="B15" s="39" t="s">
        <v>111</v>
      </c>
      <c r="C15" s="40" t="s">
        <v>70</v>
      </c>
      <c r="D15" s="41" t="s">
        <v>6</v>
      </c>
      <c r="E15" s="152">
        <f>'Нормы расхода'!N12</f>
        <v>22</v>
      </c>
      <c r="F15" s="152"/>
      <c r="G15" s="142">
        <f>CEILING(E15*105%,2)-E15</f>
        <v>2</v>
      </c>
      <c r="H15" s="37">
        <f t="shared" si="0"/>
        <v>24</v>
      </c>
    </row>
    <row r="16" spans="1:9" s="1" customFormat="1" ht="12.75" customHeight="1" outlineLevel="1">
      <c r="A16" s="38">
        <v>7</v>
      </c>
      <c r="B16" s="39" t="s">
        <v>110</v>
      </c>
      <c r="C16" s="40" t="s">
        <v>13</v>
      </c>
      <c r="D16" s="41" t="s">
        <v>6</v>
      </c>
      <c r="E16" s="152">
        <f>'Нормы расхода'!L18</f>
        <v>1</v>
      </c>
      <c r="F16" s="152"/>
      <c r="G16" s="142">
        <f t="shared" si="1"/>
        <v>1</v>
      </c>
      <c r="H16" s="37">
        <f t="shared" si="0"/>
        <v>2</v>
      </c>
    </row>
    <row r="17" spans="1:9" s="1" customFormat="1" ht="12.75" customHeight="1" outlineLevel="1">
      <c r="A17" s="38">
        <v>8</v>
      </c>
      <c r="B17" s="39" t="s">
        <v>112</v>
      </c>
      <c r="C17" s="40" t="s">
        <v>14</v>
      </c>
      <c r="D17" s="41" t="s">
        <v>6</v>
      </c>
      <c r="E17" s="152">
        <f>'Нормы расхода'!N22</f>
        <v>5</v>
      </c>
      <c r="F17" s="152"/>
      <c r="G17" s="143">
        <f>ROUNDUP(H15/5,0)-E17</f>
        <v>0</v>
      </c>
      <c r="H17" s="37">
        <f t="shared" si="0"/>
        <v>5</v>
      </c>
    </row>
    <row r="18" spans="1:9" s="1" customFormat="1" ht="12.75" hidden="1" customHeight="1" outlineLevel="1">
      <c r="A18" s="38">
        <v>9</v>
      </c>
      <c r="B18" s="46"/>
      <c r="C18" s="35" t="s">
        <v>72</v>
      </c>
      <c r="D18" s="34" t="s">
        <v>6</v>
      </c>
      <c r="E18" s="162">
        <f>CEILING(I18, 2)</f>
        <v>0</v>
      </c>
      <c r="F18" s="162"/>
      <c r="G18" s="142">
        <f>CEILING('Нормы расхода'!H4*105%,2)-E18</f>
        <v>0</v>
      </c>
      <c r="H18" s="37">
        <f t="shared" si="0"/>
        <v>0</v>
      </c>
      <c r="I18" s="8">
        <f>'Нормы расхода'!H4</f>
        <v>0</v>
      </c>
    </row>
    <row r="19" spans="1:9" s="1" customFormat="1" ht="12.75" hidden="1" customHeight="1" outlineLevel="1">
      <c r="A19" s="38">
        <v>10</v>
      </c>
      <c r="B19" s="44"/>
      <c r="C19" s="40" t="s">
        <v>70</v>
      </c>
      <c r="D19" s="41" t="s">
        <v>6</v>
      </c>
      <c r="E19" s="152">
        <f>'Нормы расхода'!U12</f>
        <v>0</v>
      </c>
      <c r="F19" s="152"/>
      <c r="G19" s="142">
        <f t="shared" si="1"/>
        <v>0</v>
      </c>
      <c r="H19" s="37">
        <f t="shared" si="0"/>
        <v>0</v>
      </c>
    </row>
    <row r="20" spans="1:9" s="1" customFormat="1" ht="12.75" hidden="1" customHeight="1" outlineLevel="1">
      <c r="A20" s="38">
        <v>11</v>
      </c>
      <c r="B20" s="44"/>
      <c r="C20" s="40" t="s">
        <v>30</v>
      </c>
      <c r="D20" s="41" t="s">
        <v>6</v>
      </c>
      <c r="E20" s="152">
        <f>'Нормы расхода'!S18</f>
        <v>0</v>
      </c>
      <c r="F20" s="152"/>
      <c r="G20" s="142">
        <f t="shared" si="1"/>
        <v>0</v>
      </c>
      <c r="H20" s="37">
        <f t="shared" si="0"/>
        <v>0</v>
      </c>
    </row>
    <row r="21" spans="1:9" s="1" customFormat="1" ht="12.75" hidden="1" customHeight="1" outlineLevel="1">
      <c r="A21" s="38">
        <v>12</v>
      </c>
      <c r="B21" s="44"/>
      <c r="C21" s="40" t="s">
        <v>31</v>
      </c>
      <c r="D21" s="41" t="s">
        <v>6</v>
      </c>
      <c r="E21" s="152">
        <f>'Нормы расхода'!U22</f>
        <v>0</v>
      </c>
      <c r="F21" s="152"/>
      <c r="G21" s="143">
        <f>ROUNDUP(H19/5,0)-E21</f>
        <v>0</v>
      </c>
      <c r="H21" s="37">
        <f t="shared" si="0"/>
        <v>0</v>
      </c>
    </row>
    <row r="22" spans="1:9" s="1" customFormat="1" ht="12.75" hidden="1" customHeight="1" outlineLevel="1">
      <c r="A22" s="38">
        <v>13</v>
      </c>
      <c r="B22" s="46"/>
      <c r="C22" s="43" t="s">
        <v>73</v>
      </c>
      <c r="D22" s="41" t="s">
        <v>6</v>
      </c>
      <c r="E22" s="162">
        <f>CEILING(I22, 2)</f>
        <v>0</v>
      </c>
      <c r="F22" s="162"/>
      <c r="G22" s="142">
        <f>CEILING('Нормы расхода'!J4*105%,2)-E22</f>
        <v>0</v>
      </c>
      <c r="H22" s="37">
        <f t="shared" si="0"/>
        <v>0</v>
      </c>
      <c r="I22" s="8">
        <f>'Нормы расхода'!J4</f>
        <v>0</v>
      </c>
    </row>
    <row r="23" spans="1:9" s="1" customFormat="1" ht="12.75" hidden="1" customHeight="1" outlineLevel="1">
      <c r="A23" s="38">
        <v>14</v>
      </c>
      <c r="B23" s="44"/>
      <c r="C23" s="40" t="s">
        <v>70</v>
      </c>
      <c r="D23" s="41" t="s">
        <v>6</v>
      </c>
      <c r="E23" s="152">
        <f>'Нормы расхода'!AB12</f>
        <v>0</v>
      </c>
      <c r="F23" s="152"/>
      <c r="G23" s="142">
        <f t="shared" si="1"/>
        <v>0</v>
      </c>
      <c r="H23" s="37">
        <f t="shared" si="0"/>
        <v>0</v>
      </c>
    </row>
    <row r="24" spans="1:9" s="1" customFormat="1" ht="12.75" hidden="1" customHeight="1" outlineLevel="1">
      <c r="A24" s="38">
        <v>15</v>
      </c>
      <c r="B24" s="44"/>
      <c r="C24" s="40" t="s">
        <v>32</v>
      </c>
      <c r="D24" s="41" t="s">
        <v>6</v>
      </c>
      <c r="E24" s="152">
        <f>'Нормы расхода'!Z18</f>
        <v>0</v>
      </c>
      <c r="F24" s="152"/>
      <c r="G24" s="142">
        <f t="shared" si="1"/>
        <v>0</v>
      </c>
      <c r="H24" s="37">
        <f t="shared" si="0"/>
        <v>0</v>
      </c>
    </row>
    <row r="25" spans="1:9" s="1" customFormat="1" ht="12.75" hidden="1" customHeight="1" outlineLevel="1">
      <c r="A25" s="38">
        <v>16</v>
      </c>
      <c r="B25" s="44"/>
      <c r="C25" s="40" t="s">
        <v>33</v>
      </c>
      <c r="D25" s="41" t="s">
        <v>6</v>
      </c>
      <c r="E25" s="152">
        <f>'Нормы расхода'!AB22</f>
        <v>0</v>
      </c>
      <c r="F25" s="152"/>
      <c r="G25" s="143">
        <f>ROUNDUP(H23/5,0)-E25</f>
        <v>0</v>
      </c>
      <c r="H25" s="37">
        <f t="shared" si="0"/>
        <v>0</v>
      </c>
    </row>
    <row r="26" spans="1:9" s="1" customFormat="1" ht="12.75" customHeight="1" outlineLevel="1" thickBot="1">
      <c r="A26" s="38">
        <v>9</v>
      </c>
      <c r="B26" s="44" t="s">
        <v>27</v>
      </c>
      <c r="C26" s="45" t="s">
        <v>15</v>
      </c>
      <c r="D26" s="46" t="s">
        <v>6</v>
      </c>
      <c r="E26" s="158">
        <f>'Нормы расхода'!U4</f>
        <v>1</v>
      </c>
      <c r="F26" s="158"/>
      <c r="G26" s="142">
        <f>CEILING('Нормы расхода'!C6/500*105%,1)-E26</f>
        <v>0</v>
      </c>
      <c r="H26" s="37">
        <f t="shared" si="0"/>
        <v>1</v>
      </c>
    </row>
    <row r="27" spans="1:9" ht="15" customHeight="1" collapsed="1" thickBot="1">
      <c r="A27" s="159" t="s">
        <v>4</v>
      </c>
      <c r="B27" s="160"/>
      <c r="C27" s="160"/>
      <c r="D27" s="160"/>
      <c r="E27" s="160"/>
      <c r="F27" s="160"/>
      <c r="G27" s="160"/>
      <c r="H27" s="161"/>
    </row>
    <row r="28" spans="1:9" ht="12.75" hidden="1" customHeight="1" outlineLevel="1">
      <c r="A28" s="33">
        <v>1</v>
      </c>
      <c r="B28" s="34"/>
      <c r="C28" s="47" t="s">
        <v>28</v>
      </c>
      <c r="D28" s="34" t="s">
        <v>5</v>
      </c>
      <c r="E28" s="162">
        <f>CEILING(I28*120%,3)</f>
        <v>0</v>
      </c>
      <c r="F28" s="162"/>
      <c r="G28" s="42">
        <f>CEILING(E28*105%,3)-E28</f>
        <v>0</v>
      </c>
      <c r="H28" s="37">
        <f t="shared" si="0"/>
        <v>0</v>
      </c>
      <c r="I28" s="115"/>
    </row>
    <row r="29" spans="1:9" ht="12.75" hidden="1" customHeight="1" outlineLevel="1">
      <c r="A29" s="38">
        <v>2</v>
      </c>
      <c r="B29" s="41"/>
      <c r="C29" s="48" t="s">
        <v>29</v>
      </c>
      <c r="D29" s="41" t="s">
        <v>5</v>
      </c>
      <c r="E29" s="162">
        <f>CEILING(I29*120%,3)</f>
        <v>0</v>
      </c>
      <c r="F29" s="162"/>
      <c r="G29" s="42">
        <f>CEILING(E29*105%,3)-E29</f>
        <v>0</v>
      </c>
      <c r="H29" s="37">
        <f t="shared" si="0"/>
        <v>0</v>
      </c>
      <c r="I29" s="115"/>
    </row>
    <row r="30" spans="1:9" s="1" customFormat="1" ht="12.75" customHeight="1" outlineLevel="1">
      <c r="A30" s="38">
        <v>1</v>
      </c>
      <c r="B30" s="41" t="s">
        <v>101</v>
      </c>
      <c r="C30" s="48" t="s">
        <v>16</v>
      </c>
      <c r="D30" s="41" t="s">
        <v>6</v>
      </c>
      <c r="E30" s="152">
        <f>'Нормы расхода'!D27</f>
        <v>28</v>
      </c>
      <c r="F30" s="152"/>
      <c r="G30" s="42">
        <f>CEILING(E30*105%,1)-E30</f>
        <v>2</v>
      </c>
      <c r="H30" s="37">
        <f t="shared" si="0"/>
        <v>30</v>
      </c>
    </row>
    <row r="31" spans="1:9" s="1" customFormat="1" ht="12.75" customHeight="1" outlineLevel="1">
      <c r="A31" s="38">
        <v>2</v>
      </c>
      <c r="B31" s="41" t="s">
        <v>102</v>
      </c>
      <c r="C31" s="48" t="s">
        <v>17</v>
      </c>
      <c r="D31" s="41" t="s">
        <v>6</v>
      </c>
      <c r="E31" s="152">
        <f>'Нормы расхода'!H27</f>
        <v>3</v>
      </c>
      <c r="F31" s="152"/>
      <c r="G31" s="42">
        <f>CEILING(E31*105%,1)-E31</f>
        <v>1</v>
      </c>
      <c r="H31" s="37">
        <f t="shared" si="0"/>
        <v>4</v>
      </c>
    </row>
    <row r="32" spans="1:9" ht="15" customHeight="1" collapsed="1">
      <c r="A32" s="38">
        <v>3</v>
      </c>
      <c r="B32" s="41" t="s">
        <v>74</v>
      </c>
      <c r="C32" s="48" t="s">
        <v>75</v>
      </c>
      <c r="D32" s="41" t="s">
        <v>6</v>
      </c>
      <c r="E32" s="153">
        <f>'Нормы расхода'!M26</f>
        <v>14</v>
      </c>
      <c r="F32" s="154"/>
      <c r="G32" s="42">
        <f t="shared" ref="G32:G33" si="2">CEILING(E32*105%,1)-E32</f>
        <v>1</v>
      </c>
      <c r="H32" s="37">
        <f t="shared" si="0"/>
        <v>15</v>
      </c>
    </row>
    <row r="33" spans="1:8" ht="12.75" hidden="1" customHeight="1" outlineLevel="1">
      <c r="A33" s="38">
        <v>6</v>
      </c>
      <c r="B33" s="41" t="s">
        <v>76</v>
      </c>
      <c r="C33" s="48" t="s">
        <v>77</v>
      </c>
      <c r="D33" s="41" t="s">
        <v>6</v>
      </c>
      <c r="E33" s="153">
        <f>'Нормы расхода'!M26</f>
        <v>14</v>
      </c>
      <c r="F33" s="154"/>
      <c r="G33" s="42">
        <f t="shared" si="2"/>
        <v>1</v>
      </c>
      <c r="H33" s="37">
        <f t="shared" si="0"/>
        <v>15</v>
      </c>
    </row>
    <row r="34" spans="1:8" ht="12.75" customHeight="1" outlineLevel="1" thickBot="1">
      <c r="A34" s="49">
        <v>4</v>
      </c>
      <c r="B34" s="46" t="s">
        <v>78</v>
      </c>
      <c r="C34" s="50" t="s">
        <v>79</v>
      </c>
      <c r="D34" s="46" t="s">
        <v>80</v>
      </c>
      <c r="E34" s="158">
        <f>'Нормы расхода'!R4</f>
        <v>15</v>
      </c>
      <c r="F34" s="158"/>
      <c r="G34" s="42">
        <f>IF(E34&lt;7,CEILING('Нормы расхода'!Q4*115%/70,1)-E34,CEILING(E34*105%,1)-E34)</f>
        <v>1</v>
      </c>
      <c r="H34" s="37">
        <f t="shared" si="0"/>
        <v>16</v>
      </c>
    </row>
    <row r="35" spans="1:8" ht="15" customHeight="1" thickBot="1">
      <c r="A35" s="163" t="s">
        <v>18</v>
      </c>
      <c r="B35" s="164"/>
      <c r="C35" s="164"/>
      <c r="D35" s="164"/>
      <c r="E35" s="164"/>
      <c r="F35" s="164"/>
      <c r="G35" s="164"/>
      <c r="H35" s="165"/>
    </row>
    <row r="36" spans="1:8" ht="12.75" customHeight="1" outlineLevel="1">
      <c r="A36" s="51">
        <v>1</v>
      </c>
      <c r="B36" s="52"/>
      <c r="C36" s="53" t="s">
        <v>104</v>
      </c>
      <c r="D36" s="52" t="s">
        <v>5</v>
      </c>
      <c r="E36" s="157">
        <f>'Нормы расхода'!D22</f>
        <v>65</v>
      </c>
      <c r="F36" s="157"/>
      <c r="G36" s="54">
        <f t="shared" ref="G36:G41" si="3">CEILING(E36*105%,1)-E36</f>
        <v>4</v>
      </c>
      <c r="H36" s="55">
        <f>SUM(E36:G36)</f>
        <v>69</v>
      </c>
    </row>
    <row r="37" spans="1:8" ht="12.75" customHeight="1" outlineLevel="1">
      <c r="A37" s="38">
        <v>2</v>
      </c>
      <c r="B37" s="41"/>
      <c r="C37" s="48" t="s">
        <v>20</v>
      </c>
      <c r="D37" s="41" t="s">
        <v>5</v>
      </c>
      <c r="E37" s="152">
        <v>23.5</v>
      </c>
      <c r="F37" s="152"/>
      <c r="G37" s="42">
        <f t="shared" si="3"/>
        <v>1.5</v>
      </c>
      <c r="H37" s="56">
        <f t="shared" ref="H37:H41" si="4">SUM(E37:G37)</f>
        <v>25</v>
      </c>
    </row>
    <row r="38" spans="1:8" ht="12.75" customHeight="1" outlineLevel="1">
      <c r="A38" s="38">
        <v>3</v>
      </c>
      <c r="B38" s="41"/>
      <c r="C38" s="48" t="s">
        <v>21</v>
      </c>
      <c r="D38" s="41" t="s">
        <v>5</v>
      </c>
      <c r="E38" s="152">
        <v>54</v>
      </c>
      <c r="F38" s="152"/>
      <c r="G38" s="42">
        <f t="shared" si="3"/>
        <v>3</v>
      </c>
      <c r="H38" s="56">
        <f t="shared" si="4"/>
        <v>57</v>
      </c>
    </row>
    <row r="39" spans="1:8" ht="12" customHeight="1" outlineLevel="1">
      <c r="A39" s="38">
        <v>4</v>
      </c>
      <c r="B39" s="41"/>
      <c r="C39" s="48" t="s">
        <v>34</v>
      </c>
      <c r="D39" s="41" t="s">
        <v>5</v>
      </c>
      <c r="E39" s="153">
        <f>'Нормы расхода'!D20</f>
        <v>19</v>
      </c>
      <c r="F39" s="154"/>
      <c r="G39" s="42">
        <f t="shared" si="3"/>
        <v>1</v>
      </c>
      <c r="H39" s="56">
        <f t="shared" si="4"/>
        <v>20</v>
      </c>
    </row>
    <row r="40" spans="1:8" ht="12.75" hidden="1" customHeight="1" outlineLevel="1">
      <c r="A40" s="38">
        <v>5</v>
      </c>
      <c r="B40" s="41"/>
      <c r="C40" s="48" t="s">
        <v>22</v>
      </c>
      <c r="D40" s="41" t="s">
        <v>5</v>
      </c>
      <c r="E40" s="152"/>
      <c r="F40" s="152"/>
      <c r="G40" s="42">
        <f t="shared" si="3"/>
        <v>0</v>
      </c>
      <c r="H40" s="56">
        <f t="shared" si="4"/>
        <v>0</v>
      </c>
    </row>
    <row r="41" spans="1:8" ht="9.75" hidden="1" customHeight="1" outlineLevel="1" thickBot="1">
      <c r="A41" s="57">
        <v>6</v>
      </c>
      <c r="B41" s="58"/>
      <c r="C41" s="59" t="s">
        <v>19</v>
      </c>
      <c r="D41" s="58" t="s">
        <v>5</v>
      </c>
      <c r="E41" s="155"/>
      <c r="F41" s="155"/>
      <c r="G41" s="60">
        <f t="shared" si="3"/>
        <v>0</v>
      </c>
      <c r="H41" s="61">
        <f t="shared" si="4"/>
        <v>0</v>
      </c>
    </row>
    <row r="42" spans="1:8" ht="15" customHeight="1">
      <c r="A42" s="62"/>
      <c r="B42" s="62"/>
      <c r="C42" s="62"/>
      <c r="D42" s="63"/>
      <c r="E42" s="64"/>
      <c r="F42" s="64"/>
      <c r="G42" s="65"/>
      <c r="H42" s="66"/>
    </row>
    <row r="43" spans="1:8">
      <c r="A43" s="156"/>
      <c r="B43" s="156"/>
      <c r="C43" s="156"/>
      <c r="D43" s="156"/>
      <c r="E43" s="156"/>
      <c r="F43" s="156"/>
      <c r="G43" s="156"/>
      <c r="H43" s="156"/>
    </row>
    <row r="44" spans="1:8" ht="15" customHeight="1">
      <c r="A44" s="150"/>
      <c r="B44" s="150"/>
      <c r="C44" s="150"/>
      <c r="D44" s="150"/>
      <c r="E44" s="151"/>
      <c r="F44" s="151"/>
      <c r="G44" s="151"/>
      <c r="H44" s="151"/>
    </row>
    <row r="45" spans="1:8">
      <c r="A45" s="150"/>
      <c r="B45" s="150"/>
      <c r="C45" s="150"/>
      <c r="D45" s="150"/>
      <c r="E45" s="151"/>
      <c r="F45" s="151"/>
      <c r="G45" s="151"/>
      <c r="H45" s="151"/>
    </row>
    <row r="46" spans="1:8">
      <c r="A46" s="150"/>
      <c r="B46" s="150"/>
      <c r="C46" s="150"/>
      <c r="D46" s="150"/>
      <c r="E46" s="151"/>
      <c r="F46" s="151"/>
      <c r="G46" s="151"/>
      <c r="H46" s="151"/>
    </row>
    <row r="47" spans="1:8" ht="16.5" customHeight="1">
      <c r="A47" s="150"/>
      <c r="B47" s="150"/>
      <c r="C47" s="150"/>
      <c r="D47" s="150"/>
      <c r="E47" s="151"/>
      <c r="F47" s="151"/>
      <c r="G47" s="151"/>
      <c r="H47" s="151"/>
    </row>
    <row r="48" spans="1:8" ht="15" customHeight="1">
      <c r="E48" s="30"/>
      <c r="F48" s="30"/>
      <c r="G48" s="30"/>
      <c r="H48" s="30"/>
    </row>
    <row r="49" spans="1:8">
      <c r="A49" s="16"/>
      <c r="B49" s="16"/>
      <c r="C49" s="16"/>
      <c r="D49" s="16"/>
      <c r="E49" s="69"/>
      <c r="F49" s="69"/>
      <c r="G49" s="69"/>
      <c r="H49" s="69"/>
    </row>
    <row r="50" spans="1:8">
      <c r="A50" s="16"/>
      <c r="B50" s="16"/>
      <c r="C50" s="16"/>
      <c r="D50" s="16"/>
      <c r="E50" s="69"/>
      <c r="F50" s="69"/>
      <c r="G50" s="69"/>
      <c r="H50" s="69"/>
    </row>
    <row r="51" spans="1:8">
      <c r="A51" s="16"/>
      <c r="B51" s="16"/>
      <c r="C51" s="16"/>
      <c r="D51" s="16"/>
      <c r="E51" s="69"/>
      <c r="F51" s="69"/>
      <c r="G51" s="69"/>
      <c r="H51" s="69"/>
    </row>
    <row r="52" spans="1:8">
      <c r="A52" s="16"/>
      <c r="B52" s="16"/>
      <c r="C52" s="16"/>
      <c r="D52" s="16"/>
      <c r="E52" s="69"/>
      <c r="F52" s="69"/>
      <c r="G52" s="69"/>
      <c r="H52" s="69"/>
    </row>
  </sheetData>
  <sheetProtection formatColumns="0" selectLockedCells="1" selectUnlockedCells="1"/>
  <mergeCells count="52">
    <mergeCell ref="A1:H1"/>
    <mergeCell ref="A2:D2"/>
    <mergeCell ref="E2:H2"/>
    <mergeCell ref="A3:B3"/>
    <mergeCell ref="C3:E3"/>
    <mergeCell ref="G3:H3"/>
    <mergeCell ref="E12:F12"/>
    <mergeCell ref="A4:E4"/>
    <mergeCell ref="F4:F5"/>
    <mergeCell ref="G4:H4"/>
    <mergeCell ref="A5:E5"/>
    <mergeCell ref="G5:H5"/>
    <mergeCell ref="A6:C6"/>
    <mergeCell ref="D6:H6"/>
    <mergeCell ref="A7:H7"/>
    <mergeCell ref="E8:F8"/>
    <mergeCell ref="A9:H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6:F36"/>
    <mergeCell ref="E25:F25"/>
    <mergeCell ref="E26:F26"/>
    <mergeCell ref="A27:H27"/>
    <mergeCell ref="E28:F28"/>
    <mergeCell ref="E29:F29"/>
    <mergeCell ref="E30:F30"/>
    <mergeCell ref="E31:F31"/>
    <mergeCell ref="E32:F32"/>
    <mergeCell ref="E33:F33"/>
    <mergeCell ref="E34:F34"/>
    <mergeCell ref="A35:H35"/>
    <mergeCell ref="A44:D47"/>
    <mergeCell ref="E44:H47"/>
    <mergeCell ref="E37:F37"/>
    <mergeCell ref="E38:F38"/>
    <mergeCell ref="E39:F39"/>
    <mergeCell ref="E40:F40"/>
    <mergeCell ref="E41:F41"/>
    <mergeCell ref="A43:D43"/>
    <mergeCell ref="E43:H43"/>
  </mergeCells>
  <conditionalFormatting sqref="E2:H2">
    <cfRule type="beginsWith" dxfId="20" priority="1" operator="beginsWith" text="Заполнить">
      <formula>LEFT(E2,LEN("Заполнить"))="Заполнить"</formula>
    </cfRule>
  </conditionalFormatting>
  <printOptions horizontalCentered="1"/>
  <pageMargins left="0.25" right="0.25" top="0.75" bottom="0.75" header="0.3" footer="0.3"/>
  <pageSetup paperSize="9" orientation="portrait" horizontalDpi="1200" verticalDpi="1200" r:id="rId1"/>
  <headerFooter differentFirst="1" alignWithMargins="0">
    <oddHeader xml:space="preserve">&amp;R8(800)555-1026
www.fasad.karkas.ru 
</oddHeader>
    <oddFooter xml:space="preserve">&amp;L&amp;P из &amp;N&amp;R&amp;"-,полужирный"&amp;14&amp;K00-044 </oddFooter>
  </headerFooter>
  <ignoredErrors>
    <ignoredError sqref="G18 G22" formula="1"/>
  </ignoredErrors>
  <drawing r:id="rId2"/>
  <legacyDrawing r:id="rId3"/>
  <extLst xmlns:xr="http://schemas.microsoft.com/office/spreadsheetml/2014/revision"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iconSet" priority="3" id="{529E59AC-D8D2-4117-9899-1436CE86767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I2</xm:sqref>
        </x14:conditionalFormatting>
      </x14:conditionalFormattings>
    </ext>
    <ext uri="{CCE6A557-97BC-4b89-ADB6-D9C93CAAB3DF}">
      <x14:dataValidations xmlns:xm="http://schemas.microsoft.com/office/excel/2006/main" disablePrompts="1" count="1">
        <x14:dataValidation type="list" showInputMessage="1" showErrorMessage="1" xr:uid="{00000000-0002-0000-0100-000000000000}">
          <x14:formula1>
            <xm:f>#REF!</xm:f>
          </x14:formula1>
          <xm:sqref>D6:H6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AB28"/>
  <sheetViews>
    <sheetView zoomScale="90" zoomScaleNormal="90" workbookViewId="0">
      <selection activeCell="L16" sqref="L16"/>
    </sheetView>
  </sheetViews>
  <sheetFormatPr defaultRowHeight="15"/>
  <cols>
    <col min="1" max="1" width="2.7109375" customWidth="1"/>
    <col min="2" max="2" width="19.85546875" customWidth="1"/>
    <col min="3" max="3" width="12" customWidth="1"/>
    <col min="4" max="4" width="9.5703125" customWidth="1"/>
    <col min="5" max="5" width="11.85546875" customWidth="1"/>
    <col min="6" max="6" width="11.7109375" customWidth="1"/>
    <col min="7" max="7" width="11.42578125" customWidth="1"/>
    <col min="8" max="8" width="2.7109375" customWidth="1"/>
    <col min="9" max="9" width="8.85546875" customWidth="1"/>
    <col min="10" max="10" width="11.85546875" customWidth="1"/>
    <col min="11" max="11" width="12" customWidth="1"/>
    <col min="12" max="12" width="11.42578125" customWidth="1"/>
    <col min="13" max="13" width="9.5703125" customWidth="1"/>
    <col min="14" max="14" width="11" customWidth="1"/>
    <col min="15" max="15" width="2" style="81" customWidth="1"/>
    <col min="16" max="16" width="11.5703125" customWidth="1"/>
    <col min="17" max="17" width="12.42578125" customWidth="1"/>
    <col min="18" max="18" width="10.42578125" customWidth="1"/>
    <col min="19" max="19" width="10" customWidth="1"/>
    <col min="20" max="20" width="9.7109375" customWidth="1"/>
    <col min="21" max="21" width="9" customWidth="1"/>
    <col min="22" max="22" width="2.28515625" customWidth="1"/>
    <col min="23" max="23" width="9.28515625" customWidth="1"/>
    <col min="24" max="24" width="12" customWidth="1"/>
    <col min="25" max="25" width="9.42578125" customWidth="1"/>
    <col min="26" max="26" width="10.140625" customWidth="1"/>
    <col min="27" max="27" width="12" customWidth="1"/>
    <col min="28" max="28" width="10.42578125" customWidth="1"/>
    <col min="29" max="29" width="12.5703125" customWidth="1"/>
  </cols>
  <sheetData>
    <row r="1" spans="2:28" ht="15.75" thickBot="1"/>
    <row r="2" spans="2:28" ht="24" customHeight="1" thickBot="1">
      <c r="B2" s="189" t="s">
        <v>90</v>
      </c>
      <c r="C2" s="206"/>
      <c r="D2" s="190"/>
      <c r="F2" s="260" t="s">
        <v>91</v>
      </c>
      <c r="G2" s="261"/>
      <c r="H2" s="261"/>
      <c r="I2" s="261"/>
      <c r="J2" s="261"/>
      <c r="K2" s="261"/>
      <c r="L2" s="261"/>
      <c r="M2" s="262"/>
      <c r="P2" s="194" t="s">
        <v>48</v>
      </c>
      <c r="Q2" s="189" t="s">
        <v>88</v>
      </c>
      <c r="R2" s="190"/>
      <c r="T2" s="237" t="s">
        <v>89</v>
      </c>
      <c r="U2" s="238"/>
      <c r="Y2" s="248" t="s">
        <v>82</v>
      </c>
      <c r="Z2" s="249"/>
      <c r="AA2" s="249"/>
      <c r="AB2" s="250"/>
    </row>
    <row r="3" spans="2:28" ht="26.25" customHeight="1" thickBot="1">
      <c r="B3" s="125" t="s">
        <v>67</v>
      </c>
      <c r="C3" s="126" t="s">
        <v>86</v>
      </c>
      <c r="D3" s="127" t="s">
        <v>85</v>
      </c>
      <c r="F3" s="122" t="s">
        <v>47</v>
      </c>
      <c r="G3" s="123" t="s">
        <v>46</v>
      </c>
      <c r="H3" s="256" t="s">
        <v>45</v>
      </c>
      <c r="I3" s="257"/>
      <c r="J3" s="123" t="s">
        <v>42</v>
      </c>
      <c r="K3" s="123" t="s">
        <v>41</v>
      </c>
      <c r="L3" s="124" t="s">
        <v>40</v>
      </c>
      <c r="M3" s="254">
        <f>ROUNDUP((SUM(F4,G4,H4,J4,K4,L4)*1.38/C6*100)-100,0)</f>
        <v>12</v>
      </c>
      <c r="P3" s="195"/>
      <c r="Q3" s="147" t="s">
        <v>99</v>
      </c>
      <c r="R3" s="90" t="s">
        <v>53</v>
      </c>
      <c r="T3" s="25" t="s">
        <v>55</v>
      </c>
      <c r="U3" s="24">
        <f>ROUNDUP(C6/100,0)</f>
        <v>2</v>
      </c>
      <c r="Y3" s="239" t="s">
        <v>84</v>
      </c>
      <c r="Z3" s="240"/>
      <c r="AA3" s="240"/>
      <c r="AB3" s="241"/>
    </row>
    <row r="4" spans="2:28" ht="15.75" customHeight="1" thickBot="1">
      <c r="B4" s="105">
        <v>154.36000000000001</v>
      </c>
      <c r="C4" s="106">
        <v>6.34</v>
      </c>
      <c r="D4" s="107">
        <v>13.32</v>
      </c>
      <c r="F4" s="108">
        <v>84</v>
      </c>
      <c r="G4" s="109">
        <v>57</v>
      </c>
      <c r="H4" s="258"/>
      <c r="I4" s="259"/>
      <c r="J4" s="109"/>
      <c r="K4" s="109"/>
      <c r="L4" s="110"/>
      <c r="M4" s="255"/>
      <c r="P4" s="196"/>
      <c r="Q4" s="148">
        <f>SUM(F4:L4)*7</f>
        <v>987</v>
      </c>
      <c r="R4" s="149">
        <f>CEILING(Q4/70,1)</f>
        <v>15</v>
      </c>
      <c r="T4" s="91" t="s">
        <v>54</v>
      </c>
      <c r="U4" s="92">
        <f>ROUNDUP(C6/500,0)</f>
        <v>1</v>
      </c>
      <c r="Y4" s="242" t="s">
        <v>83</v>
      </c>
      <c r="Z4" s="243"/>
      <c r="AA4" s="243"/>
      <c r="AB4" s="244"/>
    </row>
    <row r="5" spans="2:28" ht="15.75" thickBot="1">
      <c r="C5" s="27"/>
      <c r="D5" s="26"/>
      <c r="F5" s="191"/>
      <c r="G5" s="192"/>
      <c r="H5" s="192"/>
      <c r="I5" s="192"/>
      <c r="J5" s="192"/>
      <c r="K5" s="192"/>
      <c r="L5" s="193"/>
      <c r="Y5" s="242"/>
      <c r="Z5" s="243"/>
      <c r="AA5" s="243"/>
      <c r="AB5" s="244"/>
    </row>
    <row r="6" spans="2:28" ht="15.75" thickBot="1">
      <c r="B6" s="28" t="s">
        <v>66</v>
      </c>
      <c r="C6" s="119">
        <f>SUM(B4:D4)</f>
        <v>174.02</v>
      </c>
      <c r="F6" s="144">
        <f>CEILING(F4,2)</f>
        <v>84</v>
      </c>
      <c r="G6" s="145">
        <f>CEILING(G4,2)</f>
        <v>58</v>
      </c>
      <c r="H6" s="263">
        <f>CEILING(H4,2)</f>
        <v>0</v>
      </c>
      <c r="I6" s="264"/>
      <c r="J6" s="145">
        <f>CEILING(J4,2)</f>
        <v>0</v>
      </c>
      <c r="K6" s="145">
        <f>CEILING(K4,2)</f>
        <v>0</v>
      </c>
      <c r="L6" s="146">
        <f>CEILING(L4,2)</f>
        <v>0</v>
      </c>
      <c r="Y6" s="245"/>
      <c r="Z6" s="246"/>
      <c r="AA6" s="246"/>
      <c r="AB6" s="247"/>
    </row>
    <row r="7" spans="2:28">
      <c r="O7" s="89"/>
      <c r="P7" s="26"/>
    </row>
    <row r="8" spans="2:28" ht="15.75" thickBot="1"/>
    <row r="9" spans="2:28" ht="15.75" thickBot="1">
      <c r="B9" s="207"/>
      <c r="C9" s="265" t="s">
        <v>92</v>
      </c>
      <c r="D9" s="266"/>
      <c r="E9" s="266"/>
      <c r="F9" s="266"/>
      <c r="G9" s="267"/>
      <c r="J9" s="217" t="s">
        <v>93</v>
      </c>
      <c r="K9" s="218"/>
      <c r="L9" s="218"/>
      <c r="M9" s="218"/>
      <c r="N9" s="219"/>
      <c r="Q9" s="209" t="s">
        <v>94</v>
      </c>
      <c r="R9" s="210"/>
      <c r="S9" s="210"/>
      <c r="T9" s="210"/>
      <c r="U9" s="211"/>
      <c r="X9" s="229" t="s">
        <v>95</v>
      </c>
      <c r="Y9" s="230"/>
      <c r="Z9" s="230"/>
      <c r="AA9" s="230"/>
      <c r="AB9" s="231"/>
    </row>
    <row r="10" spans="2:28" ht="33.75">
      <c r="B10" s="208"/>
      <c r="C10" s="129" t="s">
        <v>52</v>
      </c>
      <c r="D10" s="128" t="s">
        <v>61</v>
      </c>
      <c r="E10" s="128" t="s">
        <v>51</v>
      </c>
      <c r="F10" s="128" t="s">
        <v>60</v>
      </c>
      <c r="G10" s="103" t="s">
        <v>49</v>
      </c>
      <c r="J10" s="130" t="s">
        <v>52</v>
      </c>
      <c r="K10" s="131" t="s">
        <v>61</v>
      </c>
      <c r="L10" s="131" t="s">
        <v>51</v>
      </c>
      <c r="M10" s="131" t="s">
        <v>60</v>
      </c>
      <c r="N10" s="104" t="s">
        <v>49</v>
      </c>
      <c r="Q10" s="132" t="s">
        <v>52</v>
      </c>
      <c r="R10" s="133" t="s">
        <v>61</v>
      </c>
      <c r="S10" s="133" t="s">
        <v>51</v>
      </c>
      <c r="T10" s="133" t="s">
        <v>60</v>
      </c>
      <c r="U10" s="121" t="s">
        <v>49</v>
      </c>
      <c r="X10" s="135" t="s">
        <v>52</v>
      </c>
      <c r="Y10" s="134" t="s">
        <v>61</v>
      </c>
      <c r="Z10" s="134" t="s">
        <v>51</v>
      </c>
      <c r="AA10" s="134" t="s">
        <v>60</v>
      </c>
      <c r="AB10" s="116" t="s">
        <v>49</v>
      </c>
    </row>
    <row r="11" spans="2:28">
      <c r="B11" s="22" t="s">
        <v>59</v>
      </c>
      <c r="C11" s="113">
        <v>16800</v>
      </c>
      <c r="D11" s="112"/>
      <c r="E11" s="112">
        <v>6380</v>
      </c>
      <c r="F11" s="112">
        <v>24900</v>
      </c>
      <c r="G11" s="10">
        <f>ROUNDUP(C11/2500+D11/5000+E11/2500+F11/5000,0)</f>
        <v>15</v>
      </c>
      <c r="H11" s="21"/>
      <c r="J11" s="111">
        <v>65650</v>
      </c>
      <c r="K11" s="112">
        <v>18950</v>
      </c>
      <c r="L11" s="112"/>
      <c r="M11" s="112">
        <v>40070</v>
      </c>
      <c r="N11" s="10">
        <f>ROUNDUP(J11/2500+K11/5000+L11/2500+M11/5000,0)</f>
        <v>39</v>
      </c>
      <c r="O11" s="82"/>
      <c r="Q11" s="111"/>
      <c r="R11" s="112"/>
      <c r="S11" s="112"/>
      <c r="T11" s="112"/>
      <c r="U11" s="10">
        <f>ROUNDUP(Q11/2500+R11/5000+S11/2500+T11/5000,0)</f>
        <v>0</v>
      </c>
      <c r="X11" s="111"/>
      <c r="Y11" s="112"/>
      <c r="Z11" s="112"/>
      <c r="AA11" s="112"/>
      <c r="AB11" s="10">
        <f>ROUNDUP(X11/2500+Y11/5000+Z11/2500+AA11/5000,0)</f>
        <v>0</v>
      </c>
    </row>
    <row r="12" spans="2:28">
      <c r="B12" s="93" t="s">
        <v>58</v>
      </c>
      <c r="C12" s="75">
        <f>C11</f>
        <v>16800</v>
      </c>
      <c r="D12" s="76">
        <f>D11</f>
        <v>0</v>
      </c>
      <c r="E12" s="76">
        <f>E11</f>
        <v>6380</v>
      </c>
      <c r="F12" s="76">
        <f>F11</f>
        <v>24900</v>
      </c>
      <c r="G12" s="94">
        <f>ROUNDUP(C12/4500+D12/9000+E12/4500+F12/9000,0)</f>
        <v>8</v>
      </c>
      <c r="H12" s="19"/>
      <c r="J12" s="77">
        <f>J11</f>
        <v>65650</v>
      </c>
      <c r="K12" s="76">
        <f>K11</f>
        <v>18950</v>
      </c>
      <c r="L12" s="76">
        <f>L11</f>
        <v>0</v>
      </c>
      <c r="M12" s="76">
        <f>M11</f>
        <v>40070</v>
      </c>
      <c r="N12" s="94">
        <f>ROUNDUP(J12/4500+K12/9000+L12/4500+M12/9000,0)</f>
        <v>22</v>
      </c>
      <c r="O12" s="83"/>
      <c r="Q12" s="77">
        <f>Q11</f>
        <v>0</v>
      </c>
      <c r="R12" s="76">
        <f>R11</f>
        <v>0</v>
      </c>
      <c r="S12" s="76">
        <f>S11</f>
        <v>0</v>
      </c>
      <c r="T12" s="76">
        <f>T11</f>
        <v>0</v>
      </c>
      <c r="U12" s="94">
        <f>ROUNDUP(Q12/4500+R12/9000+S12/4500+T12/9000,0)</f>
        <v>0</v>
      </c>
      <c r="X12" s="77">
        <f>X11</f>
        <v>0</v>
      </c>
      <c r="Y12" s="76">
        <f>Y11</f>
        <v>0</v>
      </c>
      <c r="Z12" s="76">
        <f>Z11</f>
        <v>0</v>
      </c>
      <c r="AA12" s="76">
        <f>AA11</f>
        <v>0</v>
      </c>
      <c r="AB12" s="98">
        <f>ROUNDUP(X12/4500+Y12/9000+Z12/4500+AA12/9000,0)</f>
        <v>0</v>
      </c>
    </row>
    <row r="13" spans="2:28" ht="15.75" thickBot="1">
      <c r="B13" s="101" t="s">
        <v>81</v>
      </c>
      <c r="C13" s="20">
        <f>C11</f>
        <v>16800</v>
      </c>
      <c r="D13" s="9">
        <f>D11</f>
        <v>0</v>
      </c>
      <c r="E13" s="9">
        <f>E11</f>
        <v>6380</v>
      </c>
      <c r="F13" s="9">
        <f>F11</f>
        <v>24900</v>
      </c>
      <c r="G13" s="102">
        <f>ROUNDUP(C13/3762+D13/7524+E13/3762+F13/7524,0)</f>
        <v>10</v>
      </c>
      <c r="J13" s="18">
        <f>J11</f>
        <v>65650</v>
      </c>
      <c r="K13" s="9">
        <f>K11</f>
        <v>18950</v>
      </c>
      <c r="L13" s="9">
        <f>L11</f>
        <v>0</v>
      </c>
      <c r="M13" s="9">
        <f>M11</f>
        <v>40070</v>
      </c>
      <c r="N13" s="102">
        <f>ROUNDUP(J13/3762+K13/7524+L13/3762+M13/7524,0)</f>
        <v>26</v>
      </c>
      <c r="Q13" s="18">
        <f>Q11</f>
        <v>0</v>
      </c>
      <c r="R13" s="9">
        <f>R11</f>
        <v>0</v>
      </c>
      <c r="S13" s="9">
        <f>S11</f>
        <v>0</v>
      </c>
      <c r="T13" s="9">
        <f>T11</f>
        <v>0</v>
      </c>
      <c r="U13" s="102">
        <f>ROUNDUP(Q13/3762+R13/7524+S13/3762+T13/7524,0)</f>
        <v>0</v>
      </c>
      <c r="X13" s="18">
        <f>X11</f>
        <v>0</v>
      </c>
      <c r="Y13" s="9">
        <f>Y11</f>
        <v>0</v>
      </c>
      <c r="Z13" s="9">
        <f>Z11</f>
        <v>0</v>
      </c>
      <c r="AA13" s="9">
        <f>AA11</f>
        <v>0</v>
      </c>
      <c r="AB13" s="102">
        <f>ROUNDUP(X13/3762+Y13/7524+Z13/3762+AA13/7524,0)</f>
        <v>0</v>
      </c>
    </row>
    <row r="14" spans="2:28" ht="15.75" thickBot="1"/>
    <row r="15" spans="2:28" s="16" customFormat="1" ht="15.75" thickBot="1">
      <c r="B15" s="232" t="s">
        <v>11</v>
      </c>
      <c r="C15" s="233"/>
      <c r="D15" s="233"/>
      <c r="E15" s="233"/>
      <c r="F15" s="233"/>
      <c r="G15" s="234"/>
      <c r="I15" s="199" t="s">
        <v>13</v>
      </c>
      <c r="J15" s="200"/>
      <c r="K15" s="200"/>
      <c r="L15" s="200"/>
      <c r="M15" s="200"/>
      <c r="N15" s="201"/>
      <c r="O15" s="84"/>
      <c r="P15" s="214" t="s">
        <v>30</v>
      </c>
      <c r="Q15" s="215"/>
      <c r="R15" s="215"/>
      <c r="S15" s="215"/>
      <c r="T15" s="215"/>
      <c r="U15" s="216"/>
      <c r="W15" s="251" t="s">
        <v>32</v>
      </c>
      <c r="X15" s="252"/>
      <c r="Y15" s="252"/>
      <c r="Z15" s="252"/>
      <c r="AA15" s="252"/>
      <c r="AB15" s="253"/>
    </row>
    <row r="16" spans="2:28" ht="33.75">
      <c r="B16" s="73"/>
      <c r="C16" s="136" t="s">
        <v>57</v>
      </c>
      <c r="D16" s="136" t="s">
        <v>56</v>
      </c>
      <c r="E16" s="74" t="s">
        <v>49</v>
      </c>
      <c r="F16" s="137" t="s">
        <v>64</v>
      </c>
      <c r="G16" s="138" t="s">
        <v>63</v>
      </c>
      <c r="I16" s="78"/>
      <c r="J16" s="123" t="s">
        <v>57</v>
      </c>
      <c r="K16" s="123" t="s">
        <v>56</v>
      </c>
      <c r="L16" s="71" t="s">
        <v>49</v>
      </c>
      <c r="M16" s="139" t="s">
        <v>64</v>
      </c>
      <c r="N16" s="140" t="s">
        <v>63</v>
      </c>
      <c r="O16" s="85"/>
      <c r="P16" s="13"/>
      <c r="Q16" s="136" t="s">
        <v>57</v>
      </c>
      <c r="R16" s="136" t="s">
        <v>56</v>
      </c>
      <c r="S16" s="79" t="s">
        <v>49</v>
      </c>
      <c r="T16" s="137" t="s">
        <v>64</v>
      </c>
      <c r="U16" s="138" t="s">
        <v>63</v>
      </c>
      <c r="W16" s="13"/>
      <c r="X16" s="136" t="s">
        <v>57</v>
      </c>
      <c r="Y16" s="136" t="s">
        <v>56</v>
      </c>
      <c r="Z16" s="79" t="s">
        <v>49</v>
      </c>
      <c r="AA16" s="137" t="s">
        <v>64</v>
      </c>
      <c r="AB16" s="138" t="s">
        <v>63</v>
      </c>
    </row>
    <row r="17" spans="2:28">
      <c r="B17" s="17" t="s">
        <v>55</v>
      </c>
      <c r="C17" s="2">
        <f>CEILING(F4,1)</f>
        <v>84</v>
      </c>
      <c r="D17" s="2">
        <f>C17*1.37865</f>
        <v>115.80659999999999</v>
      </c>
      <c r="E17" s="72">
        <f>ROUNDUP(D17/80,0)</f>
        <v>2</v>
      </c>
      <c r="F17" s="23">
        <f>ROUNDUP(D17/200,0)</f>
        <v>1</v>
      </c>
      <c r="G17" s="10">
        <f>ROUNDUP(D17/100,0)</f>
        <v>2</v>
      </c>
      <c r="I17" s="17" t="s">
        <v>55</v>
      </c>
      <c r="J17" s="2">
        <f>CEILING(G4,1)</f>
        <v>57</v>
      </c>
      <c r="K17" s="2">
        <f>J17*1.37865</f>
        <v>78.58305</v>
      </c>
      <c r="L17" s="72">
        <f>ROUNDUP(K17/80,0)</f>
        <v>1</v>
      </c>
      <c r="M17" s="23">
        <f>ROUNDUP(K17/200,0)</f>
        <v>1</v>
      </c>
      <c r="N17" s="10">
        <f>ROUNDUP(K17/100,0)</f>
        <v>1</v>
      </c>
      <c r="O17" s="86"/>
      <c r="P17" s="17" t="s">
        <v>55</v>
      </c>
      <c r="Q17" s="2">
        <f>CEILING(H4,1)</f>
        <v>0</v>
      </c>
      <c r="R17" s="2">
        <f>Q17*1.37865</f>
        <v>0</v>
      </c>
      <c r="S17" s="23">
        <f>ROUNDUP(R17/80,0)</f>
        <v>0</v>
      </c>
      <c r="T17" s="23">
        <f>ROUNDUP(R17/200,0)</f>
        <v>0</v>
      </c>
      <c r="U17" s="10">
        <f>ROUNDUP(R17/100,0)</f>
        <v>0</v>
      </c>
      <c r="W17" s="17" t="s">
        <v>55</v>
      </c>
      <c r="X17" s="2">
        <f>CEILING(J4,1)</f>
        <v>0</v>
      </c>
      <c r="Y17" s="2">
        <f>X17*1.37865</f>
        <v>0</v>
      </c>
      <c r="Z17" s="23">
        <f>ROUNDUP(Y17/80,0)</f>
        <v>0</v>
      </c>
      <c r="AA17" s="23">
        <f>ROUNDUP(Y17/200,0)</f>
        <v>0</v>
      </c>
      <c r="AB17" s="10">
        <f>ROUNDUP(Y17/100,0)</f>
        <v>0</v>
      </c>
    </row>
    <row r="18" spans="2:28" ht="15.75" thickBot="1">
      <c r="B18" s="95" t="s">
        <v>54</v>
      </c>
      <c r="C18" s="9">
        <f>C17</f>
        <v>84</v>
      </c>
      <c r="D18" s="9">
        <f>D17</f>
        <v>115.80659999999999</v>
      </c>
      <c r="E18" s="96">
        <f>ROUNDUP(D18/250,0)</f>
        <v>1</v>
      </c>
      <c r="F18" s="96">
        <f>ROUNDUP(D18/500,0)</f>
        <v>1</v>
      </c>
      <c r="G18" s="92">
        <f>ROUNDUP(D18/250,0)</f>
        <v>1</v>
      </c>
      <c r="I18" s="95" t="s">
        <v>54</v>
      </c>
      <c r="J18" s="9">
        <f>J17</f>
        <v>57</v>
      </c>
      <c r="K18" s="9">
        <f>K17</f>
        <v>78.58305</v>
      </c>
      <c r="L18" s="96">
        <f>ROUNDUP(K18/250,0)</f>
        <v>1</v>
      </c>
      <c r="M18" s="96">
        <f>ROUNDUP(K18/500,0)</f>
        <v>1</v>
      </c>
      <c r="N18" s="92">
        <f>ROUNDUP(K18/250,0)</f>
        <v>1</v>
      </c>
      <c r="O18" s="87"/>
      <c r="P18" s="95" t="s">
        <v>54</v>
      </c>
      <c r="Q18" s="9">
        <f>Q17</f>
        <v>0</v>
      </c>
      <c r="R18" s="9">
        <f>R17</f>
        <v>0</v>
      </c>
      <c r="S18" s="97">
        <f>ROUNDUP(R18/250,0)</f>
        <v>0</v>
      </c>
      <c r="T18" s="96">
        <f>ROUNDUP(R18/500,0)</f>
        <v>0</v>
      </c>
      <c r="U18" s="92">
        <f>ROUNDUP(R18/250,0)</f>
        <v>0</v>
      </c>
      <c r="W18" s="95" t="s">
        <v>54</v>
      </c>
      <c r="X18" s="9">
        <f>X17</f>
        <v>0</v>
      </c>
      <c r="Y18" s="9">
        <f>Y17</f>
        <v>0</v>
      </c>
      <c r="Z18" s="97">
        <f>ROUNDUP(Y18/250,0)</f>
        <v>0</v>
      </c>
      <c r="AA18" s="97">
        <f>ROUNDUP(Y18/500,0)</f>
        <v>0</v>
      </c>
      <c r="AB18" s="92">
        <f>ROUNDUP(Y18/250,0)</f>
        <v>0</v>
      </c>
    </row>
    <row r="19" spans="2:28" ht="15.75" thickBot="1"/>
    <row r="20" spans="2:28" ht="15.75" thickBot="1">
      <c r="B20" s="212" t="s">
        <v>65</v>
      </c>
      <c r="C20" s="213"/>
      <c r="D20" s="120">
        <f>CEILING((D11+K11+R11+Y11)/1000,1)</f>
        <v>19</v>
      </c>
      <c r="E20" s="16"/>
      <c r="F20" s="220" t="s">
        <v>12</v>
      </c>
      <c r="G20" s="221"/>
      <c r="H20" s="16"/>
      <c r="K20" s="16"/>
      <c r="M20" s="222" t="s">
        <v>14</v>
      </c>
      <c r="N20" s="223"/>
      <c r="O20" s="88"/>
      <c r="R20" s="16"/>
      <c r="T20" s="214" t="s">
        <v>31</v>
      </c>
      <c r="U20" s="216"/>
      <c r="AA20" s="235" t="s">
        <v>33</v>
      </c>
      <c r="AB20" s="236"/>
    </row>
    <row r="21" spans="2:28" ht="15.75" thickBot="1">
      <c r="F21" s="15" t="s">
        <v>55</v>
      </c>
      <c r="G21" s="14">
        <f>ROUNDUP(G11/10,0)</f>
        <v>2</v>
      </c>
      <c r="M21" s="15" t="s">
        <v>55</v>
      </c>
      <c r="N21" s="14">
        <f>ROUNDUP(N11/10,0)</f>
        <v>4</v>
      </c>
      <c r="T21" s="15" t="s">
        <v>55</v>
      </c>
      <c r="U21" s="14">
        <f>ROUNDUP(U11/10,0)</f>
        <v>0</v>
      </c>
      <c r="AA21" s="15" t="s">
        <v>55</v>
      </c>
      <c r="AB21" s="14">
        <f>ROUNDUP(AB11/10,0)</f>
        <v>0</v>
      </c>
    </row>
    <row r="22" spans="2:28" ht="15.75" thickBot="1">
      <c r="B22" s="224" t="s">
        <v>62</v>
      </c>
      <c r="C22" s="225"/>
      <c r="D22" s="120">
        <f>CEILING((F11+M11+T11+AA11)/1000,1)</f>
        <v>65</v>
      </c>
      <c r="F22" s="95" t="s">
        <v>54</v>
      </c>
      <c r="G22" s="99">
        <f>ROUNDUP(G12/5,0)</f>
        <v>2</v>
      </c>
      <c r="M22" s="95" t="s">
        <v>54</v>
      </c>
      <c r="N22" s="99">
        <f>ROUNDUP(N12/5,0)</f>
        <v>5</v>
      </c>
      <c r="T22" s="95" t="s">
        <v>54</v>
      </c>
      <c r="U22" s="99">
        <f>ROUNDUP(U12/5,0)</f>
        <v>0</v>
      </c>
      <c r="AA22" s="95" t="s">
        <v>54</v>
      </c>
      <c r="AB22" s="99">
        <f>ROUNDUP(AB12/5,0)</f>
        <v>0</v>
      </c>
    </row>
    <row r="23" spans="2:28" ht="15.75" thickBot="1"/>
    <row r="24" spans="2:28" ht="15.75" thickBot="1">
      <c r="B24" s="189" t="s">
        <v>96</v>
      </c>
      <c r="C24" s="206"/>
      <c r="D24" s="190"/>
      <c r="F24" s="226" t="s">
        <v>97</v>
      </c>
      <c r="G24" s="227"/>
      <c r="H24" s="227"/>
      <c r="I24" s="228"/>
      <c r="K24" s="189" t="s">
        <v>98</v>
      </c>
      <c r="L24" s="206"/>
      <c r="M24" s="190"/>
      <c r="S24" s="80"/>
      <c r="T24" s="80"/>
      <c r="U24" s="80"/>
    </row>
    <row r="25" spans="2:28" ht="33.75">
      <c r="B25" s="78"/>
      <c r="C25" s="139" t="s">
        <v>52</v>
      </c>
      <c r="D25" s="117" t="s">
        <v>49</v>
      </c>
      <c r="E25" s="26"/>
      <c r="F25" s="78"/>
      <c r="G25" s="139" t="s">
        <v>51</v>
      </c>
      <c r="H25" s="202" t="s">
        <v>49</v>
      </c>
      <c r="I25" s="203"/>
      <c r="K25" s="13"/>
      <c r="L25" s="137" t="s">
        <v>50</v>
      </c>
      <c r="M25" s="12" t="s">
        <v>49</v>
      </c>
    </row>
    <row r="26" spans="2:28" ht="30.75" thickBot="1">
      <c r="B26" s="11" t="s">
        <v>44</v>
      </c>
      <c r="C26" s="2">
        <f>C11+J11+Q11+X11</f>
        <v>82450</v>
      </c>
      <c r="D26" s="14">
        <f>ROUNDUP(C26/3030,0)</f>
        <v>28</v>
      </c>
      <c r="E26" s="118"/>
      <c r="F26" s="11" t="s">
        <v>68</v>
      </c>
      <c r="G26" s="2">
        <f>E11+L11+S11+Z11</f>
        <v>6380</v>
      </c>
      <c r="H26" s="204">
        <f>ROUNDUP(G26/3030,0)</f>
        <v>3</v>
      </c>
      <c r="I26" s="205"/>
      <c r="K26" s="100" t="s">
        <v>43</v>
      </c>
      <c r="L26" s="114">
        <v>41400</v>
      </c>
      <c r="M26" s="99">
        <f>ROUNDUP(L26/3030,0)</f>
        <v>14</v>
      </c>
    </row>
    <row r="27" spans="2:28" ht="30.75" thickBot="1">
      <c r="B27" s="95" t="s">
        <v>100</v>
      </c>
      <c r="C27" s="9">
        <f>C26</f>
        <v>82450</v>
      </c>
      <c r="D27" s="99">
        <f>ROUNDUP(C27/3030,0)</f>
        <v>28</v>
      </c>
      <c r="E27" s="26"/>
      <c r="F27" s="100" t="s">
        <v>103</v>
      </c>
      <c r="G27" s="9">
        <f>G26</f>
        <v>6380</v>
      </c>
      <c r="H27" s="197">
        <f>ROUNDUP(G27/2730,0)</f>
        <v>3</v>
      </c>
      <c r="I27" s="198"/>
    </row>
    <row r="28" spans="2:28" ht="33.75" customHeight="1"/>
  </sheetData>
  <mergeCells count="34">
    <mergeCell ref="X9:AB9"/>
    <mergeCell ref="B15:G15"/>
    <mergeCell ref="B2:D2"/>
    <mergeCell ref="AA20:AB20"/>
    <mergeCell ref="T2:U2"/>
    <mergeCell ref="Y3:AB3"/>
    <mergeCell ref="Y4:AB6"/>
    <mergeCell ref="Y2:AB2"/>
    <mergeCell ref="W15:AB15"/>
    <mergeCell ref="M3:M4"/>
    <mergeCell ref="H3:I3"/>
    <mergeCell ref="H4:I4"/>
    <mergeCell ref="F2:M2"/>
    <mergeCell ref="H6:I6"/>
    <mergeCell ref="T20:U20"/>
    <mergeCell ref="C9:G9"/>
    <mergeCell ref="B9:B10"/>
    <mergeCell ref="Q9:U9"/>
    <mergeCell ref="B20:C20"/>
    <mergeCell ref="P15:U15"/>
    <mergeCell ref="B24:D24"/>
    <mergeCell ref="J9:N9"/>
    <mergeCell ref="F20:G20"/>
    <mergeCell ref="M20:N20"/>
    <mergeCell ref="B22:C22"/>
    <mergeCell ref="F24:I24"/>
    <mergeCell ref="Q2:R2"/>
    <mergeCell ref="F5:L5"/>
    <mergeCell ref="P2:P4"/>
    <mergeCell ref="H27:I27"/>
    <mergeCell ref="I15:N15"/>
    <mergeCell ref="H25:I25"/>
    <mergeCell ref="H26:I26"/>
    <mergeCell ref="K24:M24"/>
  </mergeCells>
  <conditionalFormatting sqref="F6">
    <cfRule type="cellIs" dxfId="19" priority="157" operator="greaterThan">
      <formula>0</formula>
    </cfRule>
  </conditionalFormatting>
  <conditionalFormatting sqref="G6">
    <cfRule type="cellIs" dxfId="18" priority="156" operator="greaterThan">
      <formula>0</formula>
    </cfRule>
  </conditionalFormatting>
  <conditionalFormatting sqref="H6">
    <cfRule type="cellIs" dxfId="17" priority="107" operator="greaterThan">
      <formula>0</formula>
    </cfRule>
  </conditionalFormatting>
  <conditionalFormatting sqref="J6">
    <cfRule type="cellIs" dxfId="16" priority="154" operator="greaterThan">
      <formula>0</formula>
    </cfRule>
  </conditionalFormatting>
  <conditionalFormatting sqref="K6">
    <cfRule type="cellIs" dxfId="15" priority="153" operator="greaterThan">
      <formula>0</formula>
    </cfRule>
  </conditionalFormatting>
  <conditionalFormatting sqref="L6">
    <cfRule type="cellIs" dxfId="14" priority="43" operator="greaterThan">
      <formula>0</formula>
    </cfRule>
  </conditionalFormatting>
  <conditionalFormatting sqref="U3 G11 E17:G17 L17:N17 S17:U17 Z17:AB17 AB11 U11 AB21 U21 N21 G21 H26">
    <cfRule type="cellIs" dxfId="13" priority="30" operator="greaterThan">
      <formula>0</formula>
    </cfRule>
  </conditionalFormatting>
  <conditionalFormatting sqref="U4 G12 N12 U12 AB12 Z18:AB18 S18:U18 L18:N18 E18:G18 G22 M26 N22 U22 AB22">
    <cfRule type="cellIs" dxfId="12" priority="29" operator="greaterThan">
      <formula>0</formula>
    </cfRule>
  </conditionalFormatting>
  <conditionalFormatting sqref="G13 N13 U13 AB13">
    <cfRule type="cellIs" dxfId="11" priority="24" operator="greaterThan">
      <formula>0</formula>
    </cfRule>
  </conditionalFormatting>
  <conditionalFormatting sqref="C6">
    <cfRule type="cellIs" dxfId="10" priority="23" operator="greaterThan">
      <formula>0</formula>
    </cfRule>
  </conditionalFormatting>
  <conditionalFormatting sqref="D20">
    <cfRule type="cellIs" dxfId="9" priority="18" operator="greaterThan">
      <formula>0</formula>
    </cfRule>
  </conditionalFormatting>
  <conditionalFormatting sqref="D22">
    <cfRule type="cellIs" dxfId="8" priority="17" operator="greaterThan">
      <formula>0</formula>
    </cfRule>
  </conditionalFormatting>
  <conditionalFormatting sqref="M3:M4">
    <cfRule type="cellIs" dxfId="7" priority="8" operator="lessThan">
      <formula>0</formula>
    </cfRule>
    <cfRule type="cellIs" dxfId="6" priority="9" operator="greaterThan">
      <formula>15</formula>
    </cfRule>
    <cfRule type="colorScale" priority="14">
      <colorScale>
        <cfvo type="num" val="5"/>
        <cfvo type="num" val="10"/>
        <cfvo type="num" val="20"/>
        <color rgb="FFA9DBB6"/>
        <color rgb="FFFFF2AF"/>
        <color rgb="FFFCB6B8"/>
      </colorScale>
    </cfRule>
    <cfRule type="cellIs" dxfId="5" priority="16" operator="between">
      <formula>0</formula>
      <formula>15</formula>
    </cfRule>
  </conditionalFormatting>
  <conditionalFormatting sqref="N11">
    <cfRule type="cellIs" dxfId="4" priority="7" operator="greaterThan">
      <formula>0</formula>
    </cfRule>
  </conditionalFormatting>
  <conditionalFormatting sqref="R4">
    <cfRule type="cellIs" dxfId="3" priority="4" operator="greaterThan">
      <formula>0</formula>
    </cfRule>
  </conditionalFormatting>
  <conditionalFormatting sqref="D26">
    <cfRule type="cellIs" dxfId="2" priority="3" operator="greaterThan">
      <formula>0</formula>
    </cfRule>
  </conditionalFormatting>
  <conditionalFormatting sqref="D27">
    <cfRule type="cellIs" dxfId="1" priority="2" operator="greaterThan">
      <formula>0</formula>
    </cfRule>
  </conditionalFormatting>
  <conditionalFormatting sqref="H27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 16 мм брус</vt:lpstr>
      <vt:lpstr>Нормы расхода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и Ирина</dc:creator>
  <cp:lastModifiedBy>HP</cp:lastModifiedBy>
  <cp:lastPrinted>2020-02-14T05:23:48Z</cp:lastPrinted>
  <dcterms:created xsi:type="dcterms:W3CDTF">2017-02-08T16:45:35Z</dcterms:created>
  <dcterms:modified xsi:type="dcterms:W3CDTF">2020-04-14T09:39:01Z</dcterms:modified>
</cp:coreProperties>
</file>