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28680" yWindow="-120" windowWidth="19440" windowHeight="15600" activeTab="3"/>
  </bookViews>
  <sheets>
    <sheet name="СП 14 мм брус" sheetId="11" r:id="rId1"/>
    <sheet name="СП 16 мм брус" sheetId="14" r:id="rId2"/>
    <sheet name="СП 16 мм металл" sheetId="15" r:id="rId3"/>
    <sheet name="Нормы расхода" sheetId="13" r:id="rId4"/>
    <sheet name="исходные" sheetId="12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3"/>
  <c r="I2" i="15" l="1"/>
  <c r="I2" i="14"/>
  <c r="I2" i="11"/>
  <c r="E29" i="15"/>
  <c r="G29" s="1"/>
  <c r="H29" s="1"/>
  <c r="E28"/>
  <c r="G28" s="1"/>
  <c r="H28" s="1"/>
  <c r="E29" i="14"/>
  <c r="G29" s="1"/>
  <c r="H29" s="1"/>
  <c r="E28"/>
  <c r="G28" s="1"/>
  <c r="H28" s="1"/>
  <c r="E28" i="11"/>
  <c r="G28" s="1"/>
  <c r="H28" s="1"/>
  <c r="E29"/>
  <c r="G29" s="1"/>
  <c r="H29" s="1"/>
  <c r="X12" i="13"/>
  <c r="Y12"/>
  <c r="Z12"/>
  <c r="AA12"/>
  <c r="Q12"/>
  <c r="R12"/>
  <c r="S12"/>
  <c r="T12"/>
  <c r="K12"/>
  <c r="L12"/>
  <c r="M12"/>
  <c r="C12"/>
  <c r="D12"/>
  <c r="E12"/>
  <c r="F12"/>
  <c r="AB11"/>
  <c r="E23" i="11" s="1"/>
  <c r="U11" i="13"/>
  <c r="E19" i="11" s="1"/>
  <c r="N11" i="13"/>
  <c r="N21" s="1"/>
  <c r="E17" i="11" s="1"/>
  <c r="G11" i="13"/>
  <c r="E11" i="11" s="1"/>
  <c r="M26" i="13"/>
  <c r="E32" i="14" s="1"/>
  <c r="G32" s="1"/>
  <c r="H32" s="1"/>
  <c r="X17" i="13"/>
  <c r="Y17" s="1"/>
  <c r="Q17"/>
  <c r="Q18" s="1"/>
  <c r="J17"/>
  <c r="K17" s="1"/>
  <c r="C17"/>
  <c r="D17" s="1"/>
  <c r="Q4"/>
  <c r="R4" s="1"/>
  <c r="E38" i="15" s="1"/>
  <c r="I22"/>
  <c r="E22" s="1"/>
  <c r="I18"/>
  <c r="E18" s="1"/>
  <c r="I14"/>
  <c r="E14" s="1"/>
  <c r="I10"/>
  <c r="E10" s="1"/>
  <c r="I22" i="14"/>
  <c r="E22" s="1"/>
  <c r="G22" s="1"/>
  <c r="H22" s="1"/>
  <c r="I18"/>
  <c r="E18"/>
  <c r="G18" s="1"/>
  <c r="H18" s="1"/>
  <c r="I14"/>
  <c r="E14" s="1"/>
  <c r="I10"/>
  <c r="E10" s="1"/>
  <c r="I10" i="11"/>
  <c r="E10" s="1"/>
  <c r="I22"/>
  <c r="E22" s="1"/>
  <c r="I18"/>
  <c r="E18" s="1"/>
  <c r="I14"/>
  <c r="E14"/>
  <c r="G14" s="1"/>
  <c r="H14" s="1"/>
  <c r="G26" i="13"/>
  <c r="H26" s="1"/>
  <c r="E31" i="11" s="1"/>
  <c r="C26" i="13"/>
  <c r="C27" s="1"/>
  <c r="D27" s="1"/>
  <c r="C6"/>
  <c r="R17"/>
  <c r="U17" s="1"/>
  <c r="F6"/>
  <c r="G6"/>
  <c r="H6"/>
  <c r="J6"/>
  <c r="K6"/>
  <c r="L6"/>
  <c r="E33" i="14"/>
  <c r="G33" s="1"/>
  <c r="E31" i="15"/>
  <c r="G31" s="1"/>
  <c r="G30"/>
  <c r="H30" s="1"/>
  <c r="E33"/>
  <c r="G33" s="1"/>
  <c r="H33" s="1"/>
  <c r="E36"/>
  <c r="G36" s="1"/>
  <c r="E37"/>
  <c r="G37" s="1"/>
  <c r="H37" s="1"/>
  <c r="D22" i="13"/>
  <c r="E36" i="14" s="1"/>
  <c r="D20" i="13"/>
  <c r="E36" i="11" s="1"/>
  <c r="G4" i="15"/>
  <c r="G4" i="14"/>
  <c r="G4" i="11"/>
  <c r="X13" i="13"/>
  <c r="Y13"/>
  <c r="Z13"/>
  <c r="AA13"/>
  <c r="Q13"/>
  <c r="R13"/>
  <c r="S13"/>
  <c r="T13"/>
  <c r="J13"/>
  <c r="K13"/>
  <c r="L13"/>
  <c r="M13"/>
  <c r="C13"/>
  <c r="D13"/>
  <c r="E13"/>
  <c r="F13"/>
  <c r="G51" i="15"/>
  <c r="H51" s="1"/>
  <c r="G50"/>
  <c r="H50" s="1"/>
  <c r="G49"/>
  <c r="H49" s="1"/>
  <c r="G48"/>
  <c r="H48" s="1"/>
  <c r="G47"/>
  <c r="H47" s="1"/>
  <c r="G45"/>
  <c r="H45" s="1"/>
  <c r="G44"/>
  <c r="H44"/>
  <c r="G42"/>
  <c r="H42" s="1"/>
  <c r="G41"/>
  <c r="H41" s="1"/>
  <c r="G41" i="14"/>
  <c r="H41" s="1"/>
  <c r="G40"/>
  <c r="H40" s="1"/>
  <c r="G38"/>
  <c r="H38" s="1"/>
  <c r="G37"/>
  <c r="H37" s="1"/>
  <c r="X18" i="13"/>
  <c r="G38" i="11"/>
  <c r="H38" s="1"/>
  <c r="G37"/>
  <c r="H37" s="1"/>
  <c r="G35"/>
  <c r="H35" s="1"/>
  <c r="G34"/>
  <c r="H34" s="1"/>
  <c r="AB12" i="13" l="1"/>
  <c r="E23" i="15" s="1"/>
  <c r="G23" s="1"/>
  <c r="H23" s="1"/>
  <c r="U12" i="13"/>
  <c r="U22" s="1"/>
  <c r="E21" i="15" s="1"/>
  <c r="U13" i="13"/>
  <c r="G27"/>
  <c r="H27" s="1"/>
  <c r="E35" i="15" s="1"/>
  <c r="G35" s="1"/>
  <c r="E15" i="11"/>
  <c r="G15" s="1"/>
  <c r="E33"/>
  <c r="G33" s="1"/>
  <c r="G12" i="13"/>
  <c r="E11" i="15" s="1"/>
  <c r="G13" i="13"/>
  <c r="G31" i="11"/>
  <c r="H31" s="1"/>
  <c r="G18" i="15"/>
  <c r="H18" s="1"/>
  <c r="N13" i="13"/>
  <c r="E40" i="15"/>
  <c r="G40" s="1"/>
  <c r="H40" s="1"/>
  <c r="AB21" i="13"/>
  <c r="E25" i="11" s="1"/>
  <c r="AB13" i="13"/>
  <c r="N12"/>
  <c r="E15" i="15" s="1"/>
  <c r="H33" i="14"/>
  <c r="G21" i="13"/>
  <c r="E13" i="11" s="1"/>
  <c r="C18" i="13"/>
  <c r="E39" i="14"/>
  <c r="G39" s="1"/>
  <c r="G38" i="15"/>
  <c r="H38" s="1"/>
  <c r="G14"/>
  <c r="H14" s="1"/>
  <c r="E34"/>
  <c r="G34" s="1"/>
  <c r="H34" s="1"/>
  <c r="E30" i="14"/>
  <c r="G30" s="1"/>
  <c r="H30" s="1"/>
  <c r="N17" i="13"/>
  <c r="M17"/>
  <c r="K18"/>
  <c r="L17"/>
  <c r="E16" i="11" s="1"/>
  <c r="G14" i="14"/>
  <c r="H14" s="1"/>
  <c r="G10" i="11"/>
  <c r="H10" s="1"/>
  <c r="G10" i="15"/>
  <c r="H10" s="1"/>
  <c r="G22"/>
  <c r="H22" s="1"/>
  <c r="G18" i="11"/>
  <c r="H18" s="1"/>
  <c r="G22"/>
  <c r="H22" s="1"/>
  <c r="D18" i="13"/>
  <c r="E17"/>
  <c r="E12" i="11" s="1"/>
  <c r="G17" i="13"/>
  <c r="F17"/>
  <c r="Y18"/>
  <c r="Z17"/>
  <c r="E24" i="11" s="1"/>
  <c r="AB17" i="13"/>
  <c r="AA17"/>
  <c r="G36" i="14"/>
  <c r="H36" s="1"/>
  <c r="G23" i="11"/>
  <c r="H23" s="1"/>
  <c r="G36"/>
  <c r="H36" s="1"/>
  <c r="G11"/>
  <c r="H11" s="1"/>
  <c r="G19"/>
  <c r="H19" s="1"/>
  <c r="G5" i="15"/>
  <c r="E43"/>
  <c r="U3" i="13"/>
  <c r="E26" i="11" s="1"/>
  <c r="U4" i="13"/>
  <c r="R18"/>
  <c r="D26"/>
  <c r="E30" i="11" s="1"/>
  <c r="G10" i="14"/>
  <c r="H10" s="1"/>
  <c r="E23"/>
  <c r="G5" i="11"/>
  <c r="U21" i="13"/>
  <c r="E21" i="11" s="1"/>
  <c r="J18" i="13"/>
  <c r="E32" i="15"/>
  <c r="H31"/>
  <c r="AB22" i="13"/>
  <c r="S17"/>
  <c r="E20" i="11" s="1"/>
  <c r="G5" i="14"/>
  <c r="H36" i="15"/>
  <c r="M3" i="13"/>
  <c r="E34" i="14"/>
  <c r="T17" i="13"/>
  <c r="G25" i="11" l="1"/>
  <c r="H25" s="1"/>
  <c r="G13"/>
  <c r="H13" s="1"/>
  <c r="G21"/>
  <c r="H21" s="1"/>
  <c r="E19" i="15"/>
  <c r="G19" s="1"/>
  <c r="H19" s="1"/>
  <c r="G21" s="1"/>
  <c r="H21" s="1"/>
  <c r="E19" i="14"/>
  <c r="G19" s="1"/>
  <c r="H19" s="1"/>
  <c r="G21" s="1"/>
  <c r="H21" s="1"/>
  <c r="E21"/>
  <c r="H15" i="11"/>
  <c r="G17" s="1"/>
  <c r="H17" s="1"/>
  <c r="E15" i="14"/>
  <c r="G15" s="1"/>
  <c r="N22" i="13"/>
  <c r="E17" i="15" s="1"/>
  <c r="H33" i="11"/>
  <c r="E11" i="14"/>
  <c r="G11" s="1"/>
  <c r="H11" s="1"/>
  <c r="G22" i="13"/>
  <c r="E13" i="15" s="1"/>
  <c r="E31" i="14"/>
  <c r="G31" s="1"/>
  <c r="H31" s="1"/>
  <c r="H35" i="15"/>
  <c r="H39" i="14"/>
  <c r="H16" i="11"/>
  <c r="G16"/>
  <c r="N18" i="13"/>
  <c r="M18"/>
  <c r="L18"/>
  <c r="E25" i="14"/>
  <c r="E25" i="15"/>
  <c r="G25" s="1"/>
  <c r="G24" i="11"/>
  <c r="H24" s="1"/>
  <c r="G15" i="15"/>
  <c r="H15" s="1"/>
  <c r="G43"/>
  <c r="H43" s="1"/>
  <c r="Z18" i="13"/>
  <c r="AB18"/>
  <c r="AA18"/>
  <c r="E26" i="14"/>
  <c r="E26" i="15"/>
  <c r="G11"/>
  <c r="H11" s="1"/>
  <c r="G20" i="11"/>
  <c r="H20" s="1"/>
  <c r="G32" i="15"/>
  <c r="H32" s="1"/>
  <c r="G26" i="11"/>
  <c r="H26" s="1"/>
  <c r="G23" i="14"/>
  <c r="H23" s="1"/>
  <c r="G25" s="1"/>
  <c r="G34"/>
  <c r="H34" s="1"/>
  <c r="G30" i="11"/>
  <c r="H30" s="1"/>
  <c r="G12"/>
  <c r="H12" s="1"/>
  <c r="T18" i="13"/>
  <c r="S18"/>
  <c r="U18"/>
  <c r="E18"/>
  <c r="G18"/>
  <c r="F18"/>
  <c r="E17" i="14" l="1"/>
  <c r="H15"/>
  <c r="G17" s="1"/>
  <c r="E13"/>
  <c r="G13" i="15"/>
  <c r="H13" s="1"/>
  <c r="G17"/>
  <c r="H17" s="1"/>
  <c r="G26"/>
  <c r="H26" s="1"/>
  <c r="H25" i="14"/>
  <c r="E16" i="15"/>
  <c r="E16" i="14"/>
  <c r="H25" i="15"/>
  <c r="G26" i="14"/>
  <c r="H26" s="1"/>
  <c r="E24" i="15"/>
  <c r="E24" i="14"/>
  <c r="G13"/>
  <c r="H13" s="1"/>
  <c r="E12" i="15"/>
  <c r="E12" i="14"/>
  <c r="E20"/>
  <c r="E20" i="15"/>
  <c r="H17" i="14" l="1"/>
  <c r="G16"/>
  <c r="H16" s="1"/>
  <c r="G16" i="15"/>
  <c r="H16" s="1"/>
  <c r="G12"/>
  <c r="H12" s="1"/>
  <c r="G20"/>
  <c r="H20" s="1"/>
  <c r="G24" i="14"/>
  <c r="H24"/>
  <c r="G20"/>
  <c r="H20" s="1"/>
  <c r="G24" i="15"/>
  <c r="H24" s="1"/>
  <c r="G12" i="14"/>
  <c r="H12" s="1"/>
</calcChain>
</file>

<file path=xl/comments1.xml><?xml version="1.0" encoding="utf-8"?>
<comments xmlns="http://schemas.openxmlformats.org/spreadsheetml/2006/main">
  <authors>
    <author>gp</author>
    <author>KEG</author>
    <author>Karkas-NB1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Сегодняшнюю дату можно добавить сочетанием клавиш CTRL+SHIFT+4</t>
        </r>
      </text>
    </comment>
    <comment ref="B8" authorId="1">
      <text>
        <r>
          <rPr>
            <b/>
            <sz val="9"/>
            <color indexed="81"/>
            <rFont val="Tahoma"/>
            <family val="2"/>
            <charset val="204"/>
          </rPr>
          <t>KEG:</t>
        </r>
        <r>
          <rPr>
            <sz val="9"/>
            <color indexed="81"/>
            <rFont val="Tahoma"/>
            <family val="2"/>
            <charset val="204"/>
          </rPr>
          <t xml:space="preserve">
заполняет инженер</t>
        </r>
      </text>
    </comment>
    <comment ref="C10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14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22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29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30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1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</commentList>
</comments>
</file>

<file path=xl/comments2.xml><?xml version="1.0" encoding="utf-8"?>
<comments xmlns="http://schemas.openxmlformats.org/spreadsheetml/2006/main">
  <authors>
    <author>gp</author>
    <author>KEG</author>
    <author>Karkas-NB1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Сегодняшнюю дату можно добавить сочетанием клавиш CTRL+SHIFT+4</t>
        </r>
      </text>
    </comment>
    <comment ref="B8" authorId="1">
      <text>
        <r>
          <rPr>
            <b/>
            <sz val="9"/>
            <color indexed="81"/>
            <rFont val="Tahoma"/>
            <family val="2"/>
            <charset val="204"/>
          </rPr>
          <t>KEG:</t>
        </r>
        <r>
          <rPr>
            <sz val="9"/>
            <color indexed="81"/>
            <rFont val="Tahoma"/>
            <family val="2"/>
            <charset val="204"/>
          </rPr>
          <t xml:space="preserve">
заполняет инженер</t>
        </r>
      </text>
    </comment>
    <comment ref="C10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14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22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29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30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1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2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3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4" authorId="2">
      <text>
        <r>
          <rPr>
            <sz val="9"/>
            <color indexed="81"/>
            <rFont val="Tahoma"/>
            <family val="2"/>
            <charset val="204"/>
          </rPr>
          <t xml:space="preserve">в упаковке 70 кляммеров
</t>
        </r>
      </text>
    </comment>
  </commentList>
</comments>
</file>

<file path=xl/comments3.xml><?xml version="1.0" encoding="utf-8"?>
<comments xmlns="http://schemas.openxmlformats.org/spreadsheetml/2006/main">
  <authors>
    <author>gp</author>
    <author>KEG</author>
    <author>Karkas-NB1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Сегодняшнюю дату можно добавить сочетанием клавиш CTRL+SHIFT+4</t>
        </r>
      </text>
    </comment>
    <comment ref="B8" authorId="1">
      <text>
        <r>
          <rPr>
            <b/>
            <sz val="9"/>
            <color indexed="81"/>
            <rFont val="Tahoma"/>
            <family val="2"/>
            <charset val="204"/>
          </rPr>
          <t>KEG:</t>
        </r>
        <r>
          <rPr>
            <sz val="9"/>
            <color indexed="81"/>
            <rFont val="Tahoma"/>
            <family val="2"/>
            <charset val="204"/>
          </rPr>
          <t xml:space="preserve">
заполняет инженер</t>
        </r>
      </text>
    </comment>
    <comment ref="C10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14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</text>
    </comment>
    <comment ref="C22" authorId="2">
      <text>
        <r>
          <rPr>
            <b/>
            <sz val="9"/>
            <color indexed="81"/>
            <rFont val="Tahoma"/>
            <family val="2"/>
            <charset val="204"/>
          </rPr>
          <t>Панели должны быть кратно 2 шт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29" authorId="2">
      <text>
        <r>
          <rPr>
            <b/>
            <sz val="9"/>
            <color indexed="81"/>
            <rFont val="Tahoma"/>
            <family val="2"/>
            <charset val="204"/>
          </rPr>
          <t>Профили должны быть кратны 3 метрам</t>
        </r>
      </text>
    </comment>
    <comment ref="C30" authorId="2">
      <text>
        <r>
          <rPr>
            <b/>
            <sz val="9"/>
            <color indexed="81"/>
            <rFont val="Tahoma"/>
            <family val="2"/>
            <charset val="204"/>
          </rPr>
          <t>Кратность 1,2 метра</t>
        </r>
      </text>
    </comment>
    <comment ref="C34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5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6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7" authorId="2">
      <text>
        <r>
          <rPr>
            <b/>
            <sz val="9"/>
            <color indexed="81"/>
            <rFont val="Tahoma"/>
            <family val="2"/>
            <charset val="204"/>
          </rPr>
          <t>Кратно длине планки по каталогу</t>
        </r>
      </text>
    </comment>
    <comment ref="C38" authorId="2">
      <text>
        <r>
          <rPr>
            <sz val="9"/>
            <color indexed="81"/>
            <rFont val="Tahoma"/>
            <family val="2"/>
            <charset val="204"/>
          </rPr>
          <t xml:space="preserve">в упаковке 70 кляммеров
</t>
        </r>
      </text>
    </comment>
    <comment ref="C48" authorId="2">
      <text>
        <r>
          <rPr>
            <b/>
            <sz val="9"/>
            <color indexed="81"/>
            <rFont val="Tahoma"/>
            <family val="2"/>
            <charset val="204"/>
          </rPr>
          <t>Кратно 50</t>
        </r>
      </text>
    </comment>
    <comment ref="C49" authorId="2">
      <text>
        <r>
          <rPr>
            <b/>
            <sz val="9"/>
            <color indexed="81"/>
            <rFont val="Tahoma"/>
            <family val="2"/>
            <charset val="204"/>
          </rPr>
          <t>кратно 440</t>
        </r>
      </text>
    </comment>
  </commentList>
</comments>
</file>

<file path=xl/sharedStrings.xml><?xml version="1.0" encoding="utf-8"?>
<sst xmlns="http://schemas.openxmlformats.org/spreadsheetml/2006/main" count="393" uniqueCount="138">
  <si>
    <t>№</t>
  </si>
  <si>
    <t>Наименование</t>
  </si>
  <si>
    <t>Ед. изм.</t>
  </si>
  <si>
    <t>Облицовка</t>
  </si>
  <si>
    <t>Элементы подсистемы</t>
  </si>
  <si>
    <t>м.п.</t>
  </si>
  <si>
    <t>шт.</t>
  </si>
  <si>
    <t>Дата:</t>
  </si>
  <si>
    <t>Материал подсистемы:</t>
  </si>
  <si>
    <t>CRM №</t>
  </si>
  <si>
    <t>________</t>
  </si>
  <si>
    <t>Артикул</t>
  </si>
  <si>
    <t>Краска 1</t>
  </si>
  <si>
    <t>Праймер 1</t>
  </si>
  <si>
    <t>Краска 2</t>
  </si>
  <si>
    <t>Праймер 2</t>
  </si>
  <si>
    <t>Шпатлёвка</t>
  </si>
  <si>
    <t xml:space="preserve">Стыковочная планка </t>
  </si>
  <si>
    <t>Стыковочная планка односторонняя</t>
  </si>
  <si>
    <t>Доборные элементы</t>
  </si>
  <si>
    <t>Подшивка карнизов</t>
  </si>
  <si>
    <t>Откосы проемов (оц/пп 0,5мм)</t>
  </si>
  <si>
    <t>Отливы проемов (оц/пп 0,5мм)</t>
  </si>
  <si>
    <t>Капельник (оц/пп 0,5мм)</t>
  </si>
  <si>
    <t>Парапет (если имеется) (оц/пп 0,7мм)</t>
  </si>
  <si>
    <t>Заказчик (Адрес):</t>
  </si>
  <si>
    <t>Оцинкованная сталь с полимерным покрытием</t>
  </si>
  <si>
    <t>[м.кв.]</t>
  </si>
  <si>
    <t>Кол-во
(без запаса)</t>
  </si>
  <si>
    <t>Нержавеющая сталь</t>
  </si>
  <si>
    <t>Брус</t>
  </si>
  <si>
    <t>Панель 1, 455х3030х14</t>
  </si>
  <si>
    <t>Панель 2, 455х3030х14</t>
  </si>
  <si>
    <t>B4901</t>
  </si>
  <si>
    <t>B271</t>
  </si>
  <si>
    <t>B271K</t>
  </si>
  <si>
    <t>Брус основной</t>
  </si>
  <si>
    <t>Брус промежуточный</t>
  </si>
  <si>
    <t>Панель 3, 455х3030х14</t>
  </si>
  <si>
    <t>Панель 4, 455х3030х14</t>
  </si>
  <si>
    <t>Краска 3</t>
  </si>
  <si>
    <t>Праймер 3</t>
  </si>
  <si>
    <t>Краска 4</t>
  </si>
  <si>
    <t>Праймер 4</t>
  </si>
  <si>
    <t>Внешние углы (под запил)</t>
  </si>
  <si>
    <t>Запас 5%</t>
  </si>
  <si>
    <t>Итого</t>
  </si>
  <si>
    <t>Кол-во
по факту</t>
  </si>
  <si>
    <t>Площадь стен под облицовку</t>
  </si>
  <si>
    <t>Площадь фасадных материалов с учетом вылета</t>
  </si>
  <si>
    <t>Герметик 320мл.</t>
  </si>
  <si>
    <t>Кол-во панель 6, шт</t>
  </si>
  <si>
    <t>Кол-во панель 5, шт</t>
  </si>
  <si>
    <t>Кол-во панель 4, шт</t>
  </si>
  <si>
    <t>B10052     (на 16мм)</t>
  </si>
  <si>
    <t>B271 (на 14мм)</t>
  </si>
  <si>
    <t>Кол-во панель 3, шт</t>
  </si>
  <si>
    <t>Кол-во панель 2, шт</t>
  </si>
  <si>
    <t>Кол-во панель 1, шт</t>
  </si>
  <si>
    <t>B1005              (на 16мм)</t>
  </si>
  <si>
    <t>Итог, шт</t>
  </si>
  <si>
    <t>L примыканий к отмостке, мм</t>
  </si>
  <si>
    <t>L внутренних углов, мм</t>
  </si>
  <si>
    <t>L двухсторонних швов, мм</t>
  </si>
  <si>
    <t>Итог, уп</t>
  </si>
  <si>
    <t>На 16мм</t>
  </si>
  <si>
    <t>На 14мм</t>
  </si>
  <si>
    <t>Площадь, м2</t>
  </si>
  <si>
    <t>Количество панелей</t>
  </si>
  <si>
    <t>Туба 600мл (на 16мм)</t>
  </si>
  <si>
    <t>Туба 320мл (на 14мм)</t>
  </si>
  <si>
    <t>L откосов, мм</t>
  </si>
  <si>
    <t>L внешних углов, мм</t>
  </si>
  <si>
    <t>Откосы, м.п.</t>
  </si>
  <si>
    <t>Краска верхний слой, шт</t>
  </si>
  <si>
    <t>Краска основной слой, шт</t>
  </si>
  <si>
    <t>Внешние углы, м.п.</t>
  </si>
  <si>
    <r>
      <rPr>
        <b/>
        <sz val="11"/>
        <color theme="1"/>
        <rFont val="Calibri"/>
        <family val="2"/>
        <charset val="204"/>
        <scheme val="minor"/>
      </rPr>
      <t xml:space="preserve">S  </t>
    </r>
    <r>
      <rPr>
        <b/>
        <sz val="8"/>
        <color theme="1"/>
        <rFont val="Calibri"/>
        <family val="2"/>
        <charset val="204"/>
        <scheme val="minor"/>
      </rPr>
      <t>с учетом облицовки</t>
    </r>
  </si>
  <si>
    <r>
      <t>S</t>
    </r>
    <r>
      <rPr>
        <sz val="8"/>
        <color theme="1"/>
        <rFont val="Calibri"/>
        <family val="2"/>
        <charset val="204"/>
        <scheme val="minor"/>
      </rPr>
      <t xml:space="preserve"> основания</t>
    </r>
  </si>
  <si>
    <t>Оцинкованная сталь</t>
  </si>
  <si>
    <t>B271K(на 14мм)</t>
  </si>
  <si>
    <t>Панель 1, 455х3030х16</t>
  </si>
  <si>
    <t>Герметик 600мл.</t>
  </si>
  <si>
    <t>Панель 2, 455х3030х16</t>
  </si>
  <si>
    <t>Панель 3, 455х3030х16</t>
  </si>
  <si>
    <t>Панель 4, 455х3030х16</t>
  </si>
  <si>
    <t>B10052</t>
  </si>
  <si>
    <t>Стартовая скоба</t>
  </si>
  <si>
    <t>B10057</t>
  </si>
  <si>
    <t>Стартовая планка (верт. Монтаж)</t>
  </si>
  <si>
    <t>B1005</t>
  </si>
  <si>
    <t>Кляммер (упаковка 70 шт)</t>
  </si>
  <si>
    <t>уп.</t>
  </si>
  <si>
    <t>Профиль основной</t>
  </si>
  <si>
    <t>Профиль промежуточный</t>
  </si>
  <si>
    <t>Полоса металлическая 100х1,2 (углы)</t>
  </si>
  <si>
    <r>
      <t>Кронштейн</t>
    </r>
    <r>
      <rPr>
        <sz val="9"/>
        <color rgb="FFFF0000"/>
        <rFont val="Calibri"/>
        <family val="2"/>
        <charset val="204"/>
        <scheme val="minor"/>
      </rPr>
      <t xml:space="preserve"> (указать длину)</t>
    </r>
  </si>
  <si>
    <t>Удлинитель 100 мм</t>
  </si>
  <si>
    <t>Термоизоляционная прокладка</t>
  </si>
  <si>
    <t>Крепежные элементы</t>
  </si>
  <si>
    <t>Анкер фасадный М10х100</t>
  </si>
  <si>
    <t>Шуруп KMEW</t>
  </si>
  <si>
    <t>Спейсер KMEW</t>
  </si>
  <si>
    <t>Дюбель М8х80</t>
  </si>
  <si>
    <t>Заклепка вытяжная 4.0х10 А2/А2</t>
  </si>
  <si>
    <t>Туба 600мл (на 18мм)</t>
  </si>
  <si>
    <t>Инструкция</t>
  </si>
  <si>
    <t>Ячейки, связанные формулой с заполняемой, подсвечиваются цветом при добавлении значения в заполняемую ячейку</t>
  </si>
  <si>
    <t>Заполнять только ячейки такого цвета!</t>
  </si>
  <si>
    <r>
      <t>S</t>
    </r>
    <r>
      <rPr>
        <sz val="8"/>
        <color theme="1"/>
        <rFont val="Calibri"/>
        <family val="2"/>
        <charset val="204"/>
        <scheme val="minor"/>
      </rPr>
      <t xml:space="preserve"> откосов</t>
    </r>
  </si>
  <si>
    <r>
      <t xml:space="preserve">S </t>
    </r>
    <r>
      <rPr>
        <sz val="8"/>
        <color theme="1"/>
        <rFont val="Calibri"/>
        <family val="2"/>
        <charset val="204"/>
        <scheme val="minor"/>
      </rPr>
      <t>вылета</t>
    </r>
  </si>
  <si>
    <t>СПЕЦИФИКАЦИЯ 
на фасадные материалы</t>
  </si>
  <si>
    <t>Кляммеры</t>
  </si>
  <si>
    <t>Шпатлевка</t>
  </si>
  <si>
    <t>Площади под облицовку</t>
  </si>
  <si>
    <t>Перерасход ФЦП, %</t>
  </si>
  <si>
    <t>Герметик 1</t>
  </si>
  <si>
    <t>Герметик 2</t>
  </si>
  <si>
    <t>Герметик 3</t>
  </si>
  <si>
    <t>Герметик 4</t>
  </si>
  <si>
    <t>Двухсторонняя стыковочная планка</t>
  </si>
  <si>
    <t>Односторонняя стыковочная планка</t>
  </si>
  <si>
    <t>Стартовая планка</t>
  </si>
  <si>
    <t>Кол-во, шт</t>
  </si>
  <si>
    <t>Заполнить! CTRL+SHIFT+4</t>
  </si>
  <si>
    <t>B2715 (на 16мм)</t>
  </si>
  <si>
    <t>B2715</t>
  </si>
  <si>
    <t>B275K</t>
  </si>
  <si>
    <t>B275K (на 16мм)</t>
  </si>
  <si>
    <t>Откосы проемов (запил)</t>
  </si>
  <si>
    <t>NW3752A</t>
  </si>
  <si>
    <t>NH4534A</t>
  </si>
  <si>
    <t>B93HB1438AA</t>
  </si>
  <si>
    <t>B84495</t>
  </si>
  <si>
    <t>B</t>
  </si>
  <si>
    <t>B96L2417AA</t>
  </si>
  <si>
    <t>B842910A</t>
  </si>
  <si>
    <t>A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</si>
</sst>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[$-F800]dddd\,\ mmmm\ dd\,\ yyyy"/>
  </numFmts>
  <fonts count="37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8C4B0A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3E8F3"/>
        <bgColor indexed="64"/>
      </patternFill>
    </fill>
    <fill>
      <patternFill patternType="solid">
        <fgColor rgb="FFA9E9A9"/>
        <bgColor indexed="64"/>
      </patternFill>
    </fill>
    <fill>
      <patternFill patternType="solid">
        <fgColor rgb="FFDDB08B"/>
        <bgColor indexed="64"/>
      </patternFill>
    </fill>
    <fill>
      <patternFill patternType="solid">
        <fgColor rgb="FFFED28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0" fillId="0" borderId="8" xfId="0" applyBorder="1"/>
    <xf numFmtId="0" fontId="17" fillId="0" borderId="14" xfId="0" applyFont="1" applyBorder="1"/>
    <xf numFmtId="0" fontId="21" fillId="0" borderId="13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/>
    <xf numFmtId="0" fontId="17" fillId="0" borderId="16" xfId="0" applyFont="1" applyBorder="1"/>
    <xf numFmtId="0" fontId="21" fillId="0" borderId="21" xfId="0" applyFont="1" applyBorder="1"/>
    <xf numFmtId="0" fontId="0" fillId="0" borderId="0" xfId="0" applyAlignment="1">
      <alignment vertical="center"/>
    </xf>
    <xf numFmtId="0" fontId="21" fillId="0" borderId="13" xfId="0" applyFont="1" applyBorder="1"/>
    <xf numFmtId="0" fontId="0" fillId="0" borderId="7" xfId="0" applyBorder="1"/>
    <xf numFmtId="0" fontId="23" fillId="0" borderId="0" xfId="0" applyFont="1" applyAlignment="1">
      <alignment horizontal="center" vertical="center" wrapText="1"/>
    </xf>
    <xf numFmtId="0" fontId="0" fillId="0" borderId="31" xfId="0" applyBorder="1"/>
    <xf numFmtId="0" fontId="24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6" xfId="0" applyFont="1" applyBorder="1" applyAlignment="1">
      <alignment horizontal="right" vertical="center"/>
    </xf>
    <xf numFmtId="0" fontId="21" fillId="0" borderId="2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 indent="1"/>
    </xf>
    <xf numFmtId="2" fontId="5" fillId="0" borderId="11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5" fillId="0" borderId="5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2" fontId="5" fillId="0" borderId="8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7" fillId="0" borderId="2" xfId="0" applyFont="1" applyBorder="1"/>
    <xf numFmtId="0" fontId="3" fillId="0" borderId="21" xfId="0" applyFont="1" applyBorder="1"/>
    <xf numFmtId="0" fontId="4" fillId="0" borderId="36" xfId="0" applyFont="1" applyBorder="1" applyAlignment="1">
      <alignment horizontal="center" vertical="center"/>
    </xf>
    <xf numFmtId="0" fontId="0" fillId="0" borderId="37" xfId="0" applyBorder="1"/>
    <xf numFmtId="0" fontId="0" fillId="0" borderId="10" xfId="0" applyBorder="1"/>
    <xf numFmtId="0" fontId="0" fillId="0" borderId="35" xfId="0" applyBorder="1"/>
    <xf numFmtId="0" fontId="0" fillId="0" borderId="4" xfId="0" applyBorder="1"/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5" fillId="0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0" fillId="0" borderId="7" xfId="0" applyFont="1" applyBorder="1" applyAlignment="1">
      <alignment horizontal="left" vertical="center"/>
    </xf>
    <xf numFmtId="0" fontId="31" fillId="0" borderId="9" xfId="0" applyFont="1" applyBorder="1" applyAlignment="1">
      <alignment horizontal="right" vertical="center"/>
    </xf>
    <xf numFmtId="0" fontId="32" fillId="0" borderId="3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right" vertical="center"/>
    </xf>
    <xf numFmtId="0" fontId="30" fillId="0" borderId="7" xfId="0" applyFont="1" applyBorder="1"/>
    <xf numFmtId="0" fontId="31" fillId="0" borderId="15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31" fillId="0" borderId="38" xfId="0" applyFont="1" applyBorder="1"/>
    <xf numFmtId="0" fontId="31" fillId="0" borderId="9" xfId="0" applyFont="1" applyBorder="1"/>
    <xf numFmtId="0" fontId="30" fillId="0" borderId="7" xfId="0" applyFont="1" applyBorder="1" applyAlignment="1">
      <alignment wrapText="1"/>
    </xf>
    <xf numFmtId="0" fontId="33" fillId="0" borderId="32" xfId="0" applyFont="1" applyBorder="1" applyAlignment="1">
      <alignment horizontal="center" vertical="center" wrapText="1"/>
    </xf>
    <xf numFmtId="0" fontId="34" fillId="0" borderId="9" xfId="0" applyFont="1" applyBorder="1"/>
    <xf numFmtId="0" fontId="4" fillId="6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9" xfId="0" applyFont="1" applyFill="1" applyBorder="1"/>
    <xf numFmtId="2" fontId="11" fillId="3" borderId="48" xfId="0" applyNumberFormat="1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0" fontId="11" fillId="3" borderId="13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8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0" xfId="0" applyFont="1" applyBorder="1" applyAlignment="1"/>
    <xf numFmtId="0" fontId="35" fillId="0" borderId="27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2" fillId="6" borderId="34" xfId="0" applyFont="1" applyFill="1" applyBorder="1" applyAlignment="1">
      <alignment horizontal="left" vertical="center" wrapText="1"/>
    </xf>
    <xf numFmtId="0" fontId="22" fillId="7" borderId="21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horizontal="left" vertical="center" wrapText="1"/>
    </xf>
    <xf numFmtId="0" fontId="22" fillId="9" borderId="21" xfId="0" applyFont="1" applyFill="1" applyBorder="1" applyAlignment="1">
      <alignment horizontal="left" vertical="center" wrapText="1"/>
    </xf>
    <xf numFmtId="0" fontId="22" fillId="9" borderId="11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2" fillId="8" borderId="2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1" fontId="28" fillId="0" borderId="25" xfId="0" applyNumberFormat="1" applyFont="1" applyFill="1" applyBorder="1"/>
    <xf numFmtId="0" fontId="31" fillId="0" borderId="45" xfId="0" applyFont="1" applyBorder="1"/>
    <xf numFmtId="2" fontId="5" fillId="0" borderId="1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0" fillId="0" borderId="52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36" fillId="3" borderId="25" xfId="0" applyNumberFormat="1" applyFont="1" applyFill="1" applyBorder="1" applyAlignment="1">
      <alignment horizontal="center" vertical="center" wrapText="1"/>
    </xf>
    <xf numFmtId="2" fontId="36" fillId="3" borderId="26" xfId="0" applyNumberFormat="1" applyFont="1" applyFill="1" applyBorder="1" applyAlignment="1">
      <alignment horizontal="center" vertical="center" wrapText="1"/>
    </xf>
    <xf numFmtId="2" fontId="36" fillId="3" borderId="27" xfId="0" applyNumberFormat="1" applyFont="1" applyFill="1" applyBorder="1" applyAlignment="1">
      <alignment horizontal="center" vertical="center" wrapText="1"/>
    </xf>
    <xf numFmtId="2" fontId="4" fillId="5" borderId="43" xfId="0" applyNumberFormat="1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2" fontId="4" fillId="5" borderId="44" xfId="0" applyNumberFormat="1" applyFont="1" applyFill="1" applyBorder="1" applyAlignment="1">
      <alignment horizontal="center" vertical="center" wrapText="1"/>
    </xf>
    <xf numFmtId="2" fontId="4" fillId="5" borderId="41" xfId="0" applyNumberFormat="1" applyFont="1" applyFill="1" applyBorder="1" applyAlignment="1">
      <alignment horizontal="center" vertical="center" wrapText="1"/>
    </xf>
    <xf numFmtId="2" fontId="4" fillId="5" borderId="40" xfId="0" applyNumberFormat="1" applyFont="1" applyFill="1" applyBorder="1" applyAlignment="1">
      <alignment horizontal="center" vertical="center" wrapText="1"/>
    </xf>
    <xf numFmtId="2" fontId="4" fillId="5" borderId="42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2" fontId="11" fillId="3" borderId="47" xfId="0" applyNumberFormat="1" applyFont="1" applyFill="1" applyBorder="1" applyAlignment="1">
      <alignment horizontal="center" vertical="center"/>
    </xf>
    <xf numFmtId="2" fontId="11" fillId="3" borderId="4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E7EA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b/>
        <i val="0"/>
        <strike val="0"/>
        <u/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8D8AE"/>
        </patternFill>
      </fill>
    </dxf>
    <dxf>
      <fill>
        <patternFill>
          <bgColor rgb="FFF8D8AE"/>
        </patternFill>
      </fill>
    </dxf>
    <dxf>
      <fill>
        <patternFill>
          <bgColor rgb="FFF8D8AE"/>
        </patternFill>
      </fill>
    </dxf>
    <dxf>
      <fill>
        <patternFill>
          <bgColor theme="9" tint="0.79998168889431442"/>
        </patternFill>
      </fill>
    </dxf>
    <dxf>
      <fill>
        <patternFill>
          <bgColor rgb="FFFFEBEB"/>
        </patternFill>
      </fill>
    </dxf>
    <dxf>
      <fill>
        <patternFill>
          <bgColor theme="8" tint="0.79998168889431442"/>
        </patternFill>
      </fill>
    </dxf>
    <dxf>
      <fill>
        <patternFill>
          <bgColor rgb="FFFFAFFF"/>
        </patternFill>
      </fill>
    </dxf>
    <dxf>
      <fill>
        <patternFill>
          <bgColor rgb="FFA7C2FF"/>
        </patternFill>
      </fill>
    </dxf>
    <dxf>
      <fill>
        <patternFill>
          <bgColor rgb="FFDDB08B"/>
        </patternFill>
      </fill>
    </dxf>
    <dxf>
      <fill>
        <patternFill>
          <bgColor rgb="FFFED282"/>
        </patternFill>
      </fill>
    </dxf>
    <dxf>
      <fill>
        <patternFill>
          <bgColor rgb="FFA9E9A9"/>
        </patternFill>
      </fill>
    </dxf>
    <dxf>
      <fill>
        <patternFill>
          <bgColor rgb="FFB3E8F3"/>
        </patternFill>
      </fill>
    </dxf>
    <dxf>
      <font>
        <b/>
        <i val="0"/>
      </font>
      <fill>
        <patternFill patternType="solid">
          <fgColor auto="1"/>
          <bgColor rgb="FF92D050"/>
        </patternFill>
      </fill>
    </dxf>
    <dxf>
      <font>
        <b/>
        <i val="0"/>
      </font>
      <fill>
        <patternFill patternType="solid">
          <fgColor auto="1"/>
          <bgColor rgb="FF92D050"/>
        </patternFill>
      </fill>
    </dxf>
    <dxf>
      <font>
        <b/>
        <i val="0"/>
      </font>
      <fill>
        <patternFill patternType="solid">
          <fgColor auto="1"/>
          <bgColor rgb="FF92D050"/>
        </patternFill>
      </fill>
    </dxf>
  </dxfs>
  <tableStyles count="0" defaultTableStyle="TableStyleMedium2" defaultPivotStyle="PivotStyleLight16"/>
  <colors>
    <mruColors>
      <color rgb="FFFF6565"/>
      <color rgb="FFFF5050"/>
      <color rgb="FFFFCC00"/>
      <color rgb="FFFFE7EA"/>
      <color rgb="FFFFE1E5"/>
      <color rgb="FFFFAFFF"/>
      <color rgb="FFA7C2FF"/>
      <color rgb="FF75A0FF"/>
      <color rgb="FFDDB08B"/>
      <color rgb="FFFED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480388</xdr:colOff>
      <xdr:row>39</xdr:row>
      <xdr:rowOff>91109</xdr:rowOff>
    </xdr:from>
    <xdr:to>
      <xdr:col>7</xdr:col>
      <xdr:colOff>604631</xdr:colOff>
      <xdr:row>39</xdr:row>
      <xdr:rowOff>91109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3285CF57-2375-4F40-A8D8-912F2F39BCF8}"/>
            </a:ext>
          </a:extLst>
        </xdr:cNvPr>
        <xdr:cNvCxnSpPr/>
      </xdr:nvCxnSpPr>
      <xdr:spPr>
        <a:xfrm>
          <a:off x="3595063" y="8749334"/>
          <a:ext cx="2467393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480388</xdr:colOff>
      <xdr:row>42</xdr:row>
      <xdr:rowOff>91109</xdr:rowOff>
    </xdr:from>
    <xdr:to>
      <xdr:col>7</xdr:col>
      <xdr:colOff>604631</xdr:colOff>
      <xdr:row>42</xdr:row>
      <xdr:rowOff>91109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A091BBC2-00BF-4DF6-BD7A-B3C403368E37}"/>
            </a:ext>
          </a:extLst>
        </xdr:cNvPr>
        <xdr:cNvCxnSpPr/>
      </xdr:nvCxnSpPr>
      <xdr:spPr>
        <a:xfrm>
          <a:off x="3585538" y="7920659"/>
          <a:ext cx="2743618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480388</xdr:colOff>
      <xdr:row>52</xdr:row>
      <xdr:rowOff>91109</xdr:rowOff>
    </xdr:from>
    <xdr:to>
      <xdr:col>7</xdr:col>
      <xdr:colOff>604631</xdr:colOff>
      <xdr:row>52</xdr:row>
      <xdr:rowOff>91109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49019A5B-83BE-4F05-83EB-CD3F6E24B7CA}"/>
            </a:ext>
          </a:extLst>
        </xdr:cNvPr>
        <xdr:cNvCxnSpPr/>
      </xdr:nvCxnSpPr>
      <xdr:spPr>
        <a:xfrm>
          <a:off x="3585538" y="9873284"/>
          <a:ext cx="2743618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"/>
  <sheetViews>
    <sheetView view="pageLayout" topLeftCell="A10" zoomScaleNormal="100" workbookViewId="0">
      <selection activeCell="A41" sqref="A41:D44"/>
    </sheetView>
  </sheetViews>
  <sheetFormatPr defaultRowHeight="15" outlineLevelRow="1"/>
  <cols>
    <col min="1" max="1" width="4.28515625" style="13" customWidth="1" collapsed="1"/>
    <col min="2" max="2" width="10" style="13" customWidth="1"/>
    <col min="3" max="3" width="32.42578125" style="4" bestFit="1" customWidth="1" collapsed="1"/>
    <col min="4" max="4" width="5.28515625" style="12" bestFit="1" customWidth="1" collapsed="1"/>
    <col min="5" max="5" width="10.140625" style="5" customWidth="1" collapsed="1"/>
    <col min="6" max="6" width="10.140625" style="5" customWidth="1"/>
    <col min="7" max="7" width="10.140625" style="5" customWidth="1" collapsed="1"/>
    <col min="8" max="8" width="12.7109375" style="5" customWidth="1" collapsed="1"/>
    <col min="9" max="16384" width="9.140625" style="1"/>
  </cols>
  <sheetData>
    <row r="1" spans="1:9" ht="35.25" customHeight="1">
      <c r="A1" s="220" t="s">
        <v>111</v>
      </c>
      <c r="B1" s="220"/>
      <c r="C1" s="219"/>
      <c r="D1" s="219"/>
      <c r="E1" s="219"/>
      <c r="F1" s="219"/>
      <c r="G1" s="219"/>
      <c r="H1" s="219"/>
    </row>
    <row r="2" spans="1:9" ht="15.75" customHeight="1" thickBot="1">
      <c r="A2" s="221" t="s">
        <v>7</v>
      </c>
      <c r="B2" s="221"/>
      <c r="C2" s="221"/>
      <c r="D2" s="221"/>
      <c r="E2" s="222" t="s">
        <v>124</v>
      </c>
      <c r="F2" s="222"/>
      <c r="G2" s="222"/>
      <c r="H2" s="222"/>
      <c r="I2" s="12">
        <f ca="1">IF(E2=TODAY(),1,0)</f>
        <v>0</v>
      </c>
    </row>
    <row r="3" spans="1:9" ht="27.75" customHeight="1" thickBot="1">
      <c r="A3" s="225" t="s">
        <v>25</v>
      </c>
      <c r="B3" s="226"/>
      <c r="C3" s="227"/>
      <c r="D3" s="227"/>
      <c r="E3" s="227"/>
      <c r="F3" s="14" t="s">
        <v>9</v>
      </c>
      <c r="G3" s="228" t="s">
        <v>10</v>
      </c>
      <c r="H3" s="229"/>
    </row>
    <row r="4" spans="1:9">
      <c r="A4" s="230" t="s">
        <v>48</v>
      </c>
      <c r="B4" s="236"/>
      <c r="C4" s="236"/>
      <c r="D4" s="236"/>
      <c r="E4" s="236"/>
      <c r="F4" s="234" t="s">
        <v>27</v>
      </c>
      <c r="G4" s="230">
        <f>'Нормы расхода'!B4</f>
        <v>164.77</v>
      </c>
      <c r="H4" s="231"/>
    </row>
    <row r="5" spans="1:9" ht="15.75" thickBot="1">
      <c r="A5" s="232" t="s">
        <v>49</v>
      </c>
      <c r="B5" s="237"/>
      <c r="C5" s="237"/>
      <c r="D5" s="237"/>
      <c r="E5" s="237"/>
      <c r="F5" s="235"/>
      <c r="G5" s="232">
        <f>'Нормы расхода'!C6</f>
        <v>184.71</v>
      </c>
      <c r="H5" s="233"/>
    </row>
    <row r="6" spans="1:9" ht="15" customHeight="1">
      <c r="A6" s="223" t="s">
        <v>8</v>
      </c>
      <c r="B6" s="223"/>
      <c r="C6" s="223"/>
      <c r="D6" s="224" t="s">
        <v>30</v>
      </c>
      <c r="E6" s="224"/>
      <c r="F6" s="224"/>
      <c r="G6" s="224"/>
      <c r="H6" s="224"/>
    </row>
    <row r="7" spans="1:9" ht="16.5" thickBot="1">
      <c r="A7" s="219"/>
      <c r="B7" s="219"/>
      <c r="C7" s="219"/>
      <c r="D7" s="219"/>
      <c r="E7" s="219"/>
      <c r="F7" s="219"/>
      <c r="G7" s="219"/>
      <c r="H7" s="219"/>
    </row>
    <row r="8" spans="1:9" s="2" customFormat="1" ht="30.75" customHeight="1" thickBot="1">
      <c r="A8" s="25" t="s">
        <v>0</v>
      </c>
      <c r="B8" s="26" t="s">
        <v>11</v>
      </c>
      <c r="C8" s="27" t="s">
        <v>1</v>
      </c>
      <c r="D8" s="27" t="s">
        <v>2</v>
      </c>
      <c r="E8" s="218" t="s">
        <v>28</v>
      </c>
      <c r="F8" s="218"/>
      <c r="G8" s="37" t="s">
        <v>45</v>
      </c>
      <c r="H8" s="38" t="s">
        <v>46</v>
      </c>
      <c r="I8" s="10" t="s">
        <v>47</v>
      </c>
    </row>
    <row r="9" spans="1:9" s="2" customFormat="1" ht="15" customHeight="1" thickBot="1">
      <c r="A9" s="207" t="s">
        <v>3</v>
      </c>
      <c r="B9" s="208"/>
      <c r="C9" s="208"/>
      <c r="D9" s="208"/>
      <c r="E9" s="208"/>
      <c r="F9" s="208"/>
      <c r="G9" s="208"/>
      <c r="H9" s="209"/>
    </row>
    <row r="10" spans="1:9" s="2" customFormat="1" ht="12.75" customHeight="1" outlineLevel="1">
      <c r="A10" s="30">
        <v>1</v>
      </c>
      <c r="B10" s="31"/>
      <c r="C10" s="32" t="s">
        <v>31</v>
      </c>
      <c r="D10" s="33" t="s">
        <v>6</v>
      </c>
      <c r="E10" s="206">
        <f>CEILING(I10, 2)</f>
        <v>92</v>
      </c>
      <c r="F10" s="206"/>
      <c r="G10" s="36">
        <f>CEILING('Нормы расхода'!F4*105%,2)-E10</f>
        <v>6</v>
      </c>
      <c r="H10" s="49">
        <f>SUM(E10:G10)</f>
        <v>98</v>
      </c>
      <c r="I10" s="53">
        <f>'Нормы расхода'!F4</f>
        <v>92</v>
      </c>
    </row>
    <row r="11" spans="1:9" s="2" customFormat="1" ht="12.75" customHeight="1" outlineLevel="1">
      <c r="A11" s="15">
        <v>2</v>
      </c>
      <c r="B11" s="17"/>
      <c r="C11" s="18" t="s">
        <v>50</v>
      </c>
      <c r="D11" s="7" t="s">
        <v>6</v>
      </c>
      <c r="E11" s="216">
        <f>'Нормы расхода'!G11</f>
        <v>16</v>
      </c>
      <c r="F11" s="216"/>
      <c r="G11" s="189">
        <f>CEILING(E11*105%,1)-E11</f>
        <v>1</v>
      </c>
      <c r="H11" s="49">
        <f t="shared" ref="H11:H26" si="0">SUM(E11:G11)</f>
        <v>17</v>
      </c>
    </row>
    <row r="12" spans="1:9" s="2" customFormat="1" ht="12.75" customHeight="1" outlineLevel="1">
      <c r="A12" s="15">
        <v>3</v>
      </c>
      <c r="B12" s="17"/>
      <c r="C12" s="18" t="s">
        <v>12</v>
      </c>
      <c r="D12" s="7" t="s">
        <v>6</v>
      </c>
      <c r="E12" s="216">
        <f>'Нормы расхода'!E17</f>
        <v>2</v>
      </c>
      <c r="F12" s="216"/>
      <c r="G12" s="194">
        <f t="shared" ref="G12" si="1">CEILING(E12*105%,1)-E12</f>
        <v>1</v>
      </c>
      <c r="H12" s="49">
        <f t="shared" si="0"/>
        <v>3</v>
      </c>
    </row>
    <row r="13" spans="1:9" s="2" customFormat="1" ht="12.75" customHeight="1" outlineLevel="1">
      <c r="A13" s="15">
        <v>4</v>
      </c>
      <c r="B13" s="17"/>
      <c r="C13" s="18" t="s">
        <v>13</v>
      </c>
      <c r="D13" s="7" t="s">
        <v>6</v>
      </c>
      <c r="E13" s="216">
        <f>'Нормы расхода'!G21</f>
        <v>2</v>
      </c>
      <c r="F13" s="216"/>
      <c r="G13" s="194">
        <f>ROUNDUP(H11/10,0)-E13</f>
        <v>0</v>
      </c>
      <c r="H13" s="49">
        <f t="shared" si="0"/>
        <v>2</v>
      </c>
    </row>
    <row r="14" spans="1:9" s="2" customFormat="1" ht="12.75" customHeight="1" outlineLevel="1">
      <c r="A14" s="15">
        <v>5</v>
      </c>
      <c r="B14" s="6"/>
      <c r="C14" s="19" t="s">
        <v>32</v>
      </c>
      <c r="D14" s="7" t="s">
        <v>6</v>
      </c>
      <c r="E14" s="206">
        <f>CEILING(I14, 2)</f>
        <v>58</v>
      </c>
      <c r="F14" s="206"/>
      <c r="G14" s="189">
        <f>CEILING('Нормы расхода'!G4*105%,2)-E14</f>
        <v>4</v>
      </c>
      <c r="H14" s="49">
        <f t="shared" si="0"/>
        <v>62</v>
      </c>
      <c r="I14" s="53">
        <f>'Нормы расхода'!G4</f>
        <v>58</v>
      </c>
    </row>
    <row r="15" spans="1:9" s="2" customFormat="1" ht="12.75" customHeight="1" outlineLevel="1">
      <c r="A15" s="15">
        <v>6</v>
      </c>
      <c r="B15" s="17"/>
      <c r="C15" s="18" t="s">
        <v>50</v>
      </c>
      <c r="D15" s="7" t="s">
        <v>6</v>
      </c>
      <c r="E15" s="216">
        <f>'Нормы расхода'!N11</f>
        <v>42</v>
      </c>
      <c r="F15" s="216"/>
      <c r="G15" s="189">
        <f>CEILING(E15*105%,1)-E15</f>
        <v>3</v>
      </c>
      <c r="H15" s="49">
        <f t="shared" si="0"/>
        <v>45</v>
      </c>
    </row>
    <row r="16" spans="1:9" s="2" customFormat="1" ht="12.75" customHeight="1" outlineLevel="1">
      <c r="A16" s="15">
        <v>7</v>
      </c>
      <c r="B16" s="17"/>
      <c r="C16" s="18" t="s">
        <v>14</v>
      </c>
      <c r="D16" s="7" t="s">
        <v>6</v>
      </c>
      <c r="E16" s="216">
        <f>'Нормы расхода'!L17</f>
        <v>1</v>
      </c>
      <c r="F16" s="216"/>
      <c r="G16" s="194">
        <f t="shared" ref="G16" si="2">CEILING(E16*105%,1)-E16</f>
        <v>1</v>
      </c>
      <c r="H16" s="49">
        <f t="shared" si="0"/>
        <v>2</v>
      </c>
    </row>
    <row r="17" spans="1:9" s="2" customFormat="1" ht="12.75" customHeight="1" outlineLevel="1">
      <c r="A17" s="15">
        <v>8</v>
      </c>
      <c r="B17" s="17"/>
      <c r="C17" s="18" t="s">
        <v>15</v>
      </c>
      <c r="D17" s="7" t="s">
        <v>6</v>
      </c>
      <c r="E17" s="216">
        <f>'Нормы расхода'!N21</f>
        <v>5</v>
      </c>
      <c r="F17" s="216"/>
      <c r="G17" s="198">
        <f>ROUNDUP(H15/10,0)-E17</f>
        <v>0</v>
      </c>
      <c r="H17" s="49">
        <f t="shared" si="0"/>
        <v>5</v>
      </c>
    </row>
    <row r="18" spans="1:9" s="2" customFormat="1" ht="12.75" customHeight="1" outlineLevel="1">
      <c r="A18" s="15">
        <v>9</v>
      </c>
      <c r="B18" s="135"/>
      <c r="C18" s="32" t="s">
        <v>38</v>
      </c>
      <c r="D18" s="33" t="s">
        <v>6</v>
      </c>
      <c r="E18" s="206">
        <f>CEILING(I18, 2)</f>
        <v>0</v>
      </c>
      <c r="F18" s="206"/>
      <c r="G18" s="189">
        <f>CEILING('Нормы расхода'!H4*105%,2)-E18</f>
        <v>0</v>
      </c>
      <c r="H18" s="49">
        <f t="shared" si="0"/>
        <v>0</v>
      </c>
      <c r="I18" s="53">
        <f>'Нормы расхода'!H4</f>
        <v>0</v>
      </c>
    </row>
    <row r="19" spans="1:9" s="2" customFormat="1" ht="12.75" customHeight="1" outlineLevel="1">
      <c r="A19" s="15">
        <v>10</v>
      </c>
      <c r="B19" s="28"/>
      <c r="C19" s="18" t="s">
        <v>50</v>
      </c>
      <c r="D19" s="7" t="s">
        <v>6</v>
      </c>
      <c r="E19" s="216">
        <f>'Нормы расхода'!U11</f>
        <v>0</v>
      </c>
      <c r="F19" s="216"/>
      <c r="G19" s="189">
        <f>CEILING(E19*105%,1)-E19</f>
        <v>0</v>
      </c>
      <c r="H19" s="49">
        <f t="shared" si="0"/>
        <v>0</v>
      </c>
    </row>
    <row r="20" spans="1:9" s="2" customFormat="1" ht="12.75" customHeight="1" outlineLevel="1">
      <c r="A20" s="15">
        <v>11</v>
      </c>
      <c r="B20" s="28"/>
      <c r="C20" s="18" t="s">
        <v>40</v>
      </c>
      <c r="D20" s="7" t="s">
        <v>6</v>
      </c>
      <c r="E20" s="216">
        <f>'Нормы расхода'!S17</f>
        <v>0</v>
      </c>
      <c r="F20" s="216"/>
      <c r="G20" s="194">
        <f t="shared" ref="G20" si="3">CEILING(E20*105%,1)-E20</f>
        <v>0</v>
      </c>
      <c r="H20" s="49">
        <f t="shared" si="0"/>
        <v>0</v>
      </c>
    </row>
    <row r="21" spans="1:9" s="2" customFormat="1" ht="12.75" customHeight="1" outlineLevel="1">
      <c r="A21" s="15">
        <v>12</v>
      </c>
      <c r="B21" s="28"/>
      <c r="C21" s="18" t="s">
        <v>41</v>
      </c>
      <c r="D21" s="7" t="s">
        <v>6</v>
      </c>
      <c r="E21" s="216">
        <f>'Нормы расхода'!U21</f>
        <v>0</v>
      </c>
      <c r="F21" s="216"/>
      <c r="G21" s="198">
        <f>ROUNDUP(H19/10,0)-E21</f>
        <v>0</v>
      </c>
      <c r="H21" s="49">
        <f t="shared" si="0"/>
        <v>0</v>
      </c>
    </row>
    <row r="22" spans="1:9" s="2" customFormat="1" ht="12.75" customHeight="1" outlineLevel="1">
      <c r="A22" s="15">
        <v>13</v>
      </c>
      <c r="B22" s="135"/>
      <c r="C22" s="19" t="s">
        <v>39</v>
      </c>
      <c r="D22" s="7" t="s">
        <v>6</v>
      </c>
      <c r="E22" s="206">
        <f>CEILING(I22, 2)</f>
        <v>0</v>
      </c>
      <c r="F22" s="206"/>
      <c r="G22" s="189">
        <f>CEILING('Нормы расхода'!J4*105%,2)-E22</f>
        <v>0</v>
      </c>
      <c r="H22" s="49">
        <f t="shared" si="0"/>
        <v>0</v>
      </c>
      <c r="I22" s="53">
        <f>'Нормы расхода'!J4</f>
        <v>0</v>
      </c>
    </row>
    <row r="23" spans="1:9" s="2" customFormat="1" ht="12.75" customHeight="1" outlineLevel="1">
      <c r="A23" s="15">
        <v>14</v>
      </c>
      <c r="B23" s="28"/>
      <c r="C23" s="18" t="s">
        <v>50</v>
      </c>
      <c r="D23" s="7" t="s">
        <v>6</v>
      </c>
      <c r="E23" s="216">
        <f>'Нормы расхода'!AB11</f>
        <v>0</v>
      </c>
      <c r="F23" s="216"/>
      <c r="G23" s="189">
        <f>CEILING(E23*105%,1)-E23</f>
        <v>0</v>
      </c>
      <c r="H23" s="49">
        <f t="shared" si="0"/>
        <v>0</v>
      </c>
    </row>
    <row r="24" spans="1:9" s="2" customFormat="1" ht="12.75" customHeight="1" outlineLevel="1">
      <c r="A24" s="15">
        <v>15</v>
      </c>
      <c r="B24" s="28"/>
      <c r="C24" s="18" t="s">
        <v>42</v>
      </c>
      <c r="D24" s="7" t="s">
        <v>6</v>
      </c>
      <c r="E24" s="216">
        <f>'Нормы расхода'!Z17</f>
        <v>0</v>
      </c>
      <c r="F24" s="216"/>
      <c r="G24" s="194">
        <f t="shared" ref="G24" si="4">CEILING(E24*105%,1)-E24</f>
        <v>0</v>
      </c>
      <c r="H24" s="49">
        <f t="shared" si="0"/>
        <v>0</v>
      </c>
    </row>
    <row r="25" spans="1:9" s="2" customFormat="1" ht="12.75" customHeight="1" outlineLevel="1">
      <c r="A25" s="15">
        <v>16</v>
      </c>
      <c r="B25" s="28"/>
      <c r="C25" s="18" t="s">
        <v>43</v>
      </c>
      <c r="D25" s="7" t="s">
        <v>6</v>
      </c>
      <c r="E25" s="216">
        <f>'Нормы расхода'!AB21</f>
        <v>0</v>
      </c>
      <c r="F25" s="216"/>
      <c r="G25" s="198">
        <f>ROUNDUP(H23/10,0)-E25</f>
        <v>0</v>
      </c>
      <c r="H25" s="49">
        <f t="shared" si="0"/>
        <v>0</v>
      </c>
    </row>
    <row r="26" spans="1:9" s="2" customFormat="1" ht="12.75" customHeight="1" outlineLevel="1" thickBot="1">
      <c r="A26" s="15">
        <v>17</v>
      </c>
      <c r="B26" s="28" t="s">
        <v>33</v>
      </c>
      <c r="C26" s="29" t="s">
        <v>16</v>
      </c>
      <c r="D26" s="16" t="s">
        <v>6</v>
      </c>
      <c r="E26" s="217">
        <f>'Нормы расхода'!U3</f>
        <v>2</v>
      </c>
      <c r="F26" s="217"/>
      <c r="G26" s="194">
        <f>CEILING('Нормы расхода'!C6/100*105%,1)-E26</f>
        <v>0</v>
      </c>
      <c r="H26" s="49">
        <f t="shared" si="0"/>
        <v>2</v>
      </c>
    </row>
    <row r="27" spans="1:9" ht="15" customHeight="1" thickBot="1">
      <c r="A27" s="210" t="s">
        <v>4</v>
      </c>
      <c r="B27" s="211"/>
      <c r="C27" s="211"/>
      <c r="D27" s="211"/>
      <c r="E27" s="211"/>
      <c r="F27" s="211"/>
      <c r="G27" s="211"/>
      <c r="H27" s="212"/>
    </row>
    <row r="28" spans="1:9" ht="12.75" customHeight="1" outlineLevel="1">
      <c r="A28" s="30">
        <v>1</v>
      </c>
      <c r="B28" s="31"/>
      <c r="C28" s="34" t="s">
        <v>36</v>
      </c>
      <c r="D28" s="33" t="s">
        <v>5</v>
      </c>
      <c r="E28" s="206">
        <f>CEILING(I28*120%,3)</f>
        <v>0</v>
      </c>
      <c r="F28" s="206"/>
      <c r="G28" s="197">
        <f>CEILING(E28*105%,3)-E28</f>
        <v>0</v>
      </c>
      <c r="H28" s="49">
        <f>SUM(E28:G28)</f>
        <v>0</v>
      </c>
      <c r="I28" s="162"/>
    </row>
    <row r="29" spans="1:9" ht="12.75" customHeight="1" outlineLevel="1">
      <c r="A29" s="15">
        <v>2</v>
      </c>
      <c r="B29" s="6"/>
      <c r="C29" s="8" t="s">
        <v>37</v>
      </c>
      <c r="D29" s="7" t="s">
        <v>5</v>
      </c>
      <c r="E29" s="206">
        <f>CEILING(I29*120%,3)</f>
        <v>0</v>
      </c>
      <c r="F29" s="206"/>
      <c r="G29" s="35">
        <f>CEILING(E29*105%,3)-E29</f>
        <v>0</v>
      </c>
      <c r="H29" s="49">
        <f t="shared" ref="H29:H31" si="5">SUM(E29:G29)</f>
        <v>0</v>
      </c>
      <c r="I29" s="162"/>
    </row>
    <row r="30" spans="1:9" s="2" customFormat="1" ht="12.75" customHeight="1" outlineLevel="1">
      <c r="A30" s="15">
        <v>3</v>
      </c>
      <c r="B30" s="6" t="s">
        <v>34</v>
      </c>
      <c r="C30" s="8" t="s">
        <v>17</v>
      </c>
      <c r="D30" s="7" t="s">
        <v>6</v>
      </c>
      <c r="E30" s="216">
        <f>'Нормы расхода'!D26</f>
        <v>31</v>
      </c>
      <c r="F30" s="216"/>
      <c r="G30" s="35">
        <f>CEILING(E30*105%,1)-E30</f>
        <v>2</v>
      </c>
      <c r="H30" s="49">
        <f t="shared" si="5"/>
        <v>33</v>
      </c>
    </row>
    <row r="31" spans="1:9" s="2" customFormat="1" ht="12.75" customHeight="1" outlineLevel="1" thickBot="1">
      <c r="A31" s="15">
        <v>4</v>
      </c>
      <c r="B31" s="6" t="s">
        <v>35</v>
      </c>
      <c r="C31" s="8" t="s">
        <v>18</v>
      </c>
      <c r="D31" s="7" t="s">
        <v>6</v>
      </c>
      <c r="E31" s="216">
        <f>'Нормы расхода'!H26</f>
        <v>3</v>
      </c>
      <c r="F31" s="216"/>
      <c r="G31" s="35">
        <f>CEILING(E31*105%,1)-E31</f>
        <v>1</v>
      </c>
      <c r="H31" s="49">
        <f t="shared" si="5"/>
        <v>4</v>
      </c>
    </row>
    <row r="32" spans="1:9" ht="15" customHeight="1" thickBot="1">
      <c r="A32" s="213" t="s">
        <v>19</v>
      </c>
      <c r="B32" s="214"/>
      <c r="C32" s="214"/>
      <c r="D32" s="214"/>
      <c r="E32" s="214"/>
      <c r="F32" s="214"/>
      <c r="G32" s="214"/>
      <c r="H32" s="215"/>
    </row>
    <row r="33" spans="1:8" ht="12.75" customHeight="1" outlineLevel="1">
      <c r="A33" s="39">
        <v>1</v>
      </c>
      <c r="B33" s="40"/>
      <c r="C33" s="41" t="s">
        <v>21</v>
      </c>
      <c r="D33" s="42" t="s">
        <v>5</v>
      </c>
      <c r="E33" s="238">
        <f>'Нормы расхода'!D22</f>
        <v>65</v>
      </c>
      <c r="F33" s="238"/>
      <c r="G33" s="43">
        <f t="shared" ref="G33:G38" si="6">CEILING(E33*105%,1)-E33</f>
        <v>4</v>
      </c>
      <c r="H33" s="51">
        <f>SUM(E33:G33)</f>
        <v>69</v>
      </c>
    </row>
    <row r="34" spans="1:8" ht="12.75" customHeight="1" outlineLevel="1">
      <c r="A34" s="15">
        <v>2</v>
      </c>
      <c r="B34" s="6"/>
      <c r="C34" s="8" t="s">
        <v>22</v>
      </c>
      <c r="D34" s="7" t="s">
        <v>5</v>
      </c>
      <c r="E34" s="216"/>
      <c r="F34" s="216"/>
      <c r="G34" s="35">
        <f t="shared" si="6"/>
        <v>0</v>
      </c>
      <c r="H34" s="50">
        <f t="shared" ref="H34:H38" si="7">SUM(E34:G34)</f>
        <v>0</v>
      </c>
    </row>
    <row r="35" spans="1:8" ht="15" customHeight="1">
      <c r="A35" s="15">
        <v>3</v>
      </c>
      <c r="B35" s="6"/>
      <c r="C35" s="8" t="s">
        <v>23</v>
      </c>
      <c r="D35" s="7" t="s">
        <v>5</v>
      </c>
      <c r="E35" s="216"/>
      <c r="F35" s="216"/>
      <c r="G35" s="35">
        <f t="shared" si="6"/>
        <v>0</v>
      </c>
      <c r="H35" s="50">
        <f t="shared" si="7"/>
        <v>0</v>
      </c>
    </row>
    <row r="36" spans="1:8" ht="12.75" customHeight="1" outlineLevel="1">
      <c r="A36" s="15">
        <v>4</v>
      </c>
      <c r="B36" s="6"/>
      <c r="C36" s="8" t="s">
        <v>44</v>
      </c>
      <c r="D36" s="7" t="s">
        <v>5</v>
      </c>
      <c r="E36" s="244">
        <f>'Нормы расхода'!D20</f>
        <v>21</v>
      </c>
      <c r="F36" s="245"/>
      <c r="G36" s="35">
        <f t="shared" si="6"/>
        <v>2</v>
      </c>
      <c r="H36" s="50">
        <f t="shared" si="7"/>
        <v>23</v>
      </c>
    </row>
    <row r="37" spans="1:8" ht="12.75" customHeight="1" outlineLevel="1">
      <c r="A37" s="15">
        <v>5</v>
      </c>
      <c r="B37" s="6"/>
      <c r="C37" s="8" t="s">
        <v>24</v>
      </c>
      <c r="D37" s="7" t="s">
        <v>5</v>
      </c>
      <c r="E37" s="216"/>
      <c r="F37" s="216"/>
      <c r="G37" s="35">
        <f t="shared" si="6"/>
        <v>0</v>
      </c>
      <c r="H37" s="50">
        <f t="shared" si="7"/>
        <v>0</v>
      </c>
    </row>
    <row r="38" spans="1:8" ht="12.75" customHeight="1" outlineLevel="1" thickBot="1">
      <c r="A38" s="44">
        <v>6</v>
      </c>
      <c r="B38" s="45"/>
      <c r="C38" s="46" t="s">
        <v>20</v>
      </c>
      <c r="D38" s="47" t="s">
        <v>5</v>
      </c>
      <c r="E38" s="239"/>
      <c r="F38" s="239"/>
      <c r="G38" s="48">
        <f t="shared" si="6"/>
        <v>0</v>
      </c>
      <c r="H38" s="52">
        <f t="shared" si="7"/>
        <v>0</v>
      </c>
    </row>
    <row r="39" spans="1:8" ht="12.75" customHeight="1" outlineLevel="1">
      <c r="A39" s="20"/>
      <c r="B39" s="20"/>
      <c r="C39" s="20"/>
      <c r="D39" s="21"/>
      <c r="E39" s="22"/>
      <c r="F39" s="22"/>
      <c r="G39" s="23"/>
      <c r="H39" s="24"/>
    </row>
    <row r="40" spans="1:8" ht="12.75" customHeight="1" outlineLevel="1">
      <c r="A40" s="241"/>
      <c r="B40" s="241"/>
      <c r="C40" s="241"/>
      <c r="D40" s="241"/>
      <c r="E40" s="241"/>
      <c r="F40" s="241"/>
      <c r="G40" s="241"/>
      <c r="H40" s="241"/>
    </row>
    <row r="41" spans="1:8" ht="12.75" customHeight="1" outlineLevel="1">
      <c r="A41" s="240"/>
      <c r="B41" s="240"/>
      <c r="C41" s="240"/>
      <c r="D41" s="240"/>
      <c r="E41" s="242"/>
      <c r="F41" s="242"/>
      <c r="G41" s="243"/>
      <c r="H41" s="243"/>
    </row>
    <row r="42" spans="1:8" ht="15" customHeight="1">
      <c r="A42" s="240"/>
      <c r="B42" s="240"/>
      <c r="C42" s="240"/>
      <c r="D42" s="240"/>
      <c r="E42" s="243"/>
      <c r="F42" s="243"/>
      <c r="G42" s="243"/>
      <c r="H42" s="243"/>
    </row>
    <row r="43" spans="1:8">
      <c r="A43" s="240"/>
      <c r="B43" s="240"/>
      <c r="C43" s="240"/>
      <c r="D43" s="240"/>
      <c r="E43" s="243"/>
      <c r="F43" s="243"/>
      <c r="G43" s="243"/>
      <c r="H43" s="243"/>
    </row>
    <row r="44" spans="1:8" ht="18" customHeight="1">
      <c r="A44" s="240"/>
      <c r="B44" s="240"/>
      <c r="C44" s="240"/>
      <c r="D44" s="240"/>
      <c r="E44" s="243"/>
      <c r="F44" s="243"/>
      <c r="G44" s="243"/>
      <c r="H44" s="243"/>
    </row>
    <row r="45" spans="1:8">
      <c r="E45" s="11"/>
      <c r="F45" s="11"/>
      <c r="G45" s="11"/>
      <c r="H45" s="11"/>
    </row>
    <row r="46" spans="1:8">
      <c r="A46" s="1"/>
      <c r="B46" s="1"/>
      <c r="C46" s="1"/>
      <c r="D46" s="1"/>
      <c r="E46" s="3"/>
      <c r="F46" s="3"/>
      <c r="G46" s="3"/>
      <c r="H46" s="3"/>
    </row>
    <row r="47" spans="1:8" ht="21.75" customHeight="1">
      <c r="A47" s="1"/>
      <c r="B47" s="1"/>
      <c r="C47" s="1"/>
      <c r="D47" s="1"/>
      <c r="E47" s="3"/>
      <c r="F47" s="3"/>
      <c r="G47" s="3"/>
      <c r="H47" s="3"/>
    </row>
    <row r="48" spans="1:8">
      <c r="A48" s="1"/>
      <c r="B48" s="1"/>
      <c r="C48" s="1"/>
      <c r="D48" s="1"/>
      <c r="E48" s="3"/>
      <c r="F48" s="3"/>
      <c r="G48" s="3"/>
      <c r="H48" s="3"/>
    </row>
    <row r="49" spans="1:8">
      <c r="A49" s="1"/>
      <c r="B49" s="1"/>
      <c r="C49" s="1"/>
      <c r="D49" s="1"/>
      <c r="E49" s="3"/>
      <c r="F49" s="3"/>
      <c r="G49" s="3"/>
      <c r="H49" s="3"/>
    </row>
  </sheetData>
  <sheetProtection formatColumns="0" selectLockedCells="1" selectUnlockedCells="1"/>
  <mergeCells count="49">
    <mergeCell ref="A41:D44"/>
    <mergeCell ref="A40:D40"/>
    <mergeCell ref="E41:H44"/>
    <mergeCell ref="E40:H40"/>
    <mergeCell ref="E36:F36"/>
    <mergeCell ref="E33:F33"/>
    <mergeCell ref="E34:F34"/>
    <mergeCell ref="E35:F35"/>
    <mergeCell ref="E37:F37"/>
    <mergeCell ref="E38:F38"/>
    <mergeCell ref="E8:F8"/>
    <mergeCell ref="A7:H7"/>
    <mergeCell ref="A1:H1"/>
    <mergeCell ref="A2:D2"/>
    <mergeCell ref="E2:H2"/>
    <mergeCell ref="A6:C6"/>
    <mergeCell ref="D6:H6"/>
    <mergeCell ref="A3:B3"/>
    <mergeCell ref="C3:E3"/>
    <mergeCell ref="G3:H3"/>
    <mergeCell ref="G4:H4"/>
    <mergeCell ref="G5:H5"/>
    <mergeCell ref="F4:F5"/>
    <mergeCell ref="A4:E4"/>
    <mergeCell ref="A5:E5"/>
    <mergeCell ref="E23:F23"/>
    <mergeCell ref="E24:F24"/>
    <mergeCell ref="E25:F25"/>
    <mergeCell ref="E14:F14"/>
    <mergeCell ref="E10:F10"/>
    <mergeCell ref="E11:F11"/>
    <mergeCell ref="E12:F12"/>
    <mergeCell ref="E13:F13"/>
    <mergeCell ref="E29:F29"/>
    <mergeCell ref="A9:H9"/>
    <mergeCell ref="A27:H27"/>
    <mergeCell ref="A32:H32"/>
    <mergeCell ref="E30:F30"/>
    <mergeCell ref="E31:F31"/>
    <mergeCell ref="E18:F18"/>
    <mergeCell ref="E19:F19"/>
    <mergeCell ref="E20:F20"/>
    <mergeCell ref="E21:F21"/>
    <mergeCell ref="E15:F15"/>
    <mergeCell ref="E16:F16"/>
    <mergeCell ref="E17:F17"/>
    <mergeCell ref="E26:F26"/>
    <mergeCell ref="E28:F28"/>
    <mergeCell ref="E22:F22"/>
  </mergeCells>
  <conditionalFormatting sqref="E2:H2">
    <cfRule type="beginsWith" dxfId="22" priority="1" operator="beginsWith" text="Заполнить">
      <formula>LEFT(E2,LEN("Заполнить"))="Заполнить"</formula>
    </cfRule>
  </conditionalFormatting>
  <printOptions horizontalCentered="1"/>
  <pageMargins left="0.25" right="0.25" top="0.75" bottom="0.75" header="0.3" footer="0.3"/>
  <pageSetup paperSize="9" orientation="portrait" horizontalDpi="1200" verticalDpi="1200" r:id="rId1"/>
  <headerFooter differentFirst="1" alignWithMargins="0">
    <oddHeader xml:space="preserve">&amp;R8(800)555-1026
www.fasad.karkas.ru 
</oddHeader>
    <oddFooter xml:space="preserve">&amp;L&amp;P из &amp;N&amp;R&amp;"-,полужирный"&amp;14&amp;K00-044 </oddFooter>
  </headerFooter>
  <ignoredErrors>
    <ignoredError sqref="G18 G14 G22" formula="1"/>
  </ignoredErrors>
  <drawing r:id="rId2"/>
  <legacyDrawing r:id="rId3"/>
  <extLst xmlns:xr="http://schemas.microsoft.com/office/spreadsheetml/2014/revision"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2" id="{AA16ED96-E503-45EE-A3E3-8A09DD51F8F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I2</xm:sqref>
        </x14:conditionalFormatting>
      </x14:conditionalFormattings>
    </ext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исходные!$A$1:$A$4</xm:f>
          </x14:formula1>
          <xm:sqref>D6:H6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I52"/>
  <sheetViews>
    <sheetView view="pageLayout" topLeftCell="A3" zoomScaleNormal="100" workbookViewId="0">
      <selection activeCell="E2" sqref="E2:H2"/>
    </sheetView>
  </sheetViews>
  <sheetFormatPr defaultRowHeight="15" outlineLevelRow="1"/>
  <cols>
    <col min="1" max="1" width="4.28515625" style="112" customWidth="1" collapsed="1"/>
    <col min="2" max="2" width="9.7109375" style="112" customWidth="1"/>
    <col min="3" max="3" width="32.42578125" style="113" bestFit="1" customWidth="1" collapsed="1"/>
    <col min="4" max="4" width="5.28515625" style="112" bestFit="1" customWidth="1" collapsed="1"/>
    <col min="5" max="5" width="10.140625" style="115" customWidth="1" collapsed="1"/>
    <col min="6" max="6" width="10.140625" style="115" customWidth="1"/>
    <col min="7" max="7" width="10.140625" style="115" customWidth="1" collapsed="1"/>
    <col min="8" max="8" width="12.7109375" style="115" customWidth="1" collapsed="1"/>
    <col min="9" max="16384" width="9.140625" style="61"/>
  </cols>
  <sheetData>
    <row r="1" spans="1:9" ht="35.25" customHeight="1">
      <c r="A1" s="264" t="s">
        <v>111</v>
      </c>
      <c r="B1" s="264"/>
      <c r="C1" s="263"/>
      <c r="D1" s="263"/>
      <c r="E1" s="263"/>
      <c r="F1" s="263"/>
      <c r="G1" s="263"/>
      <c r="H1" s="263"/>
    </row>
    <row r="2" spans="1:9" ht="15.75" customHeight="1" thickBot="1">
      <c r="A2" s="221" t="s">
        <v>7</v>
      </c>
      <c r="B2" s="221"/>
      <c r="C2" s="221"/>
      <c r="D2" s="221"/>
      <c r="E2" s="222"/>
      <c r="F2" s="222"/>
      <c r="G2" s="222"/>
      <c r="H2" s="222"/>
      <c r="I2" s="12">
        <f ca="1">IF(E2=TODAY(),1,0)</f>
        <v>0</v>
      </c>
    </row>
    <row r="3" spans="1:9" ht="27.75" customHeight="1" thickBot="1">
      <c r="A3" s="265" t="s">
        <v>25</v>
      </c>
      <c r="B3" s="266"/>
      <c r="C3" s="267"/>
      <c r="D3" s="267"/>
      <c r="E3" s="267"/>
      <c r="F3" s="14" t="s">
        <v>9</v>
      </c>
      <c r="G3" s="268">
        <v>194409</v>
      </c>
      <c r="H3" s="269"/>
    </row>
    <row r="4" spans="1:9">
      <c r="A4" s="253" t="s">
        <v>48</v>
      </c>
      <c r="B4" s="254"/>
      <c r="C4" s="254"/>
      <c r="D4" s="254"/>
      <c r="E4" s="254"/>
      <c r="F4" s="255" t="s">
        <v>27</v>
      </c>
      <c r="G4" s="253">
        <f>'Нормы расхода'!B4</f>
        <v>164.77</v>
      </c>
      <c r="H4" s="257"/>
    </row>
    <row r="5" spans="1:9" ht="15.75" thickBot="1">
      <c r="A5" s="258" t="s">
        <v>49</v>
      </c>
      <c r="B5" s="259"/>
      <c r="C5" s="259"/>
      <c r="D5" s="259"/>
      <c r="E5" s="259"/>
      <c r="F5" s="256"/>
      <c r="G5" s="258">
        <f>'Нормы расхода'!C6</f>
        <v>184.71</v>
      </c>
      <c r="H5" s="260"/>
    </row>
    <row r="6" spans="1:9" ht="15" customHeight="1">
      <c r="A6" s="261" t="s">
        <v>8</v>
      </c>
      <c r="B6" s="261"/>
      <c r="C6" s="261"/>
      <c r="D6" s="262" t="s">
        <v>30</v>
      </c>
      <c r="E6" s="262"/>
      <c r="F6" s="262"/>
      <c r="G6" s="262"/>
      <c r="H6" s="262"/>
    </row>
    <row r="7" spans="1:9" ht="16.5" thickBot="1">
      <c r="A7" s="263"/>
      <c r="B7" s="263"/>
      <c r="C7" s="263"/>
      <c r="D7" s="263"/>
      <c r="E7" s="263"/>
      <c r="F7" s="263"/>
      <c r="G7" s="263"/>
      <c r="H7" s="263"/>
    </row>
    <row r="8" spans="1:9" s="2" customFormat="1" ht="30.75" customHeight="1" thickBot="1">
      <c r="A8" s="76" t="s">
        <v>0</v>
      </c>
      <c r="B8" s="77" t="s">
        <v>11</v>
      </c>
      <c r="C8" s="27" t="s">
        <v>1</v>
      </c>
      <c r="D8" s="27" t="s">
        <v>2</v>
      </c>
      <c r="E8" s="218" t="s">
        <v>28</v>
      </c>
      <c r="F8" s="218"/>
      <c r="G8" s="74" t="s">
        <v>45</v>
      </c>
      <c r="H8" s="38" t="s">
        <v>46</v>
      </c>
      <c r="I8" s="10" t="s">
        <v>47</v>
      </c>
    </row>
    <row r="9" spans="1:9" s="2" customFormat="1" ht="15" customHeight="1" thickBot="1">
      <c r="A9" s="207" t="s">
        <v>3</v>
      </c>
      <c r="B9" s="208"/>
      <c r="C9" s="208"/>
      <c r="D9" s="208"/>
      <c r="E9" s="208"/>
      <c r="F9" s="208"/>
      <c r="G9" s="208"/>
      <c r="H9" s="209"/>
    </row>
    <row r="10" spans="1:9" s="2" customFormat="1" ht="12.75" customHeight="1" outlineLevel="1">
      <c r="A10" s="78">
        <v>1</v>
      </c>
      <c r="B10" s="79" t="s">
        <v>130</v>
      </c>
      <c r="C10" s="80" t="s">
        <v>81</v>
      </c>
      <c r="D10" s="79" t="s">
        <v>6</v>
      </c>
      <c r="E10" s="252">
        <f>CEILING(I10, 2)</f>
        <v>92</v>
      </c>
      <c r="F10" s="252"/>
      <c r="G10" s="81">
        <f>CEILING('Нормы расхода'!F4*105%,2)-E10</f>
        <v>6</v>
      </c>
      <c r="H10" s="82">
        <f>SUM(E10:G10)</f>
        <v>98</v>
      </c>
      <c r="I10" s="53">
        <f>'Нормы расхода'!F4</f>
        <v>92</v>
      </c>
    </row>
    <row r="11" spans="1:9" s="2" customFormat="1" ht="12.75" customHeight="1" outlineLevel="1">
      <c r="A11" s="83">
        <v>2</v>
      </c>
      <c r="B11" s="84" t="s">
        <v>133</v>
      </c>
      <c r="C11" s="85" t="s">
        <v>82</v>
      </c>
      <c r="D11" s="86" t="s">
        <v>6</v>
      </c>
      <c r="E11" s="246">
        <f>'Нормы расхода'!G12</f>
        <v>9</v>
      </c>
      <c r="F11" s="246"/>
      <c r="G11" s="193">
        <f>CEILING(E11*105%,1)-E11</f>
        <v>1</v>
      </c>
      <c r="H11" s="82">
        <f t="shared" ref="H11:H34" si="0">SUM(E11:G11)</f>
        <v>10</v>
      </c>
    </row>
    <row r="12" spans="1:9" s="2" customFormat="1" ht="12.75" customHeight="1" outlineLevel="1">
      <c r="A12" s="83">
        <v>3</v>
      </c>
      <c r="B12" s="84" t="s">
        <v>132</v>
      </c>
      <c r="C12" s="85" t="s">
        <v>12</v>
      </c>
      <c r="D12" s="86" t="s">
        <v>6</v>
      </c>
      <c r="E12" s="246">
        <f>'Нормы расхода'!E18</f>
        <v>1</v>
      </c>
      <c r="F12" s="246"/>
      <c r="G12" s="195">
        <f t="shared" ref="G12:G24" si="1">CEILING(E12*105%,1)-E12</f>
        <v>1</v>
      </c>
      <c r="H12" s="82">
        <f t="shared" si="0"/>
        <v>2</v>
      </c>
    </row>
    <row r="13" spans="1:9" s="2" customFormat="1" ht="12.75" customHeight="1" outlineLevel="1">
      <c r="A13" s="83">
        <v>4</v>
      </c>
      <c r="B13" s="84" t="s">
        <v>134</v>
      </c>
      <c r="C13" s="85" t="s">
        <v>13</v>
      </c>
      <c r="D13" s="86" t="s">
        <v>6</v>
      </c>
      <c r="E13" s="246">
        <f>'Нормы расхода'!G22</f>
        <v>2</v>
      </c>
      <c r="F13" s="246"/>
      <c r="G13" s="195">
        <f>ROUNDUP(H11/5,0)-E13</f>
        <v>0</v>
      </c>
      <c r="H13" s="82">
        <f t="shared" si="0"/>
        <v>2</v>
      </c>
    </row>
    <row r="14" spans="1:9" s="2" customFormat="1" ht="12.75" customHeight="1" outlineLevel="1">
      <c r="A14" s="83">
        <v>5</v>
      </c>
      <c r="B14" s="86" t="s">
        <v>131</v>
      </c>
      <c r="C14" s="88" t="s">
        <v>83</v>
      </c>
      <c r="D14" s="86" t="s">
        <v>6</v>
      </c>
      <c r="E14" s="252">
        <f>CEILING(I14, 2)</f>
        <v>58</v>
      </c>
      <c r="F14" s="252"/>
      <c r="G14" s="195">
        <f>CEILING('Нормы расхода'!G4*105%,2)-E14</f>
        <v>4</v>
      </c>
      <c r="H14" s="82">
        <f t="shared" si="0"/>
        <v>62</v>
      </c>
      <c r="I14" s="53">
        <f>'Нормы расхода'!G4</f>
        <v>58</v>
      </c>
    </row>
    <row r="15" spans="1:9" s="2" customFormat="1" ht="12.75" customHeight="1" outlineLevel="1">
      <c r="A15" s="83">
        <v>6</v>
      </c>
      <c r="B15" s="84" t="s">
        <v>136</v>
      </c>
      <c r="C15" s="85" t="s">
        <v>82</v>
      </c>
      <c r="D15" s="86" t="s">
        <v>6</v>
      </c>
      <c r="E15" s="246">
        <f>'Нормы расхода'!N12</f>
        <v>24</v>
      </c>
      <c r="F15" s="246"/>
      <c r="G15" s="195">
        <f>CEILING(E15*105%,2)-E15</f>
        <v>2</v>
      </c>
      <c r="H15" s="82">
        <f t="shared" si="0"/>
        <v>26</v>
      </c>
    </row>
    <row r="16" spans="1:9" s="2" customFormat="1" ht="12.75" customHeight="1" outlineLevel="1">
      <c r="A16" s="83">
        <v>7</v>
      </c>
      <c r="B16" s="84" t="s">
        <v>135</v>
      </c>
      <c r="C16" s="85" t="s">
        <v>14</v>
      </c>
      <c r="D16" s="86" t="s">
        <v>6</v>
      </c>
      <c r="E16" s="246">
        <f>'Нормы расхода'!L18</f>
        <v>1</v>
      </c>
      <c r="F16" s="246"/>
      <c r="G16" s="195">
        <f t="shared" si="1"/>
        <v>1</v>
      </c>
      <c r="H16" s="82">
        <f t="shared" si="0"/>
        <v>2</v>
      </c>
    </row>
    <row r="17" spans="1:9" s="2" customFormat="1" ht="12.75" customHeight="1" outlineLevel="1">
      <c r="A17" s="83">
        <v>8</v>
      </c>
      <c r="B17" s="84" t="s">
        <v>137</v>
      </c>
      <c r="C17" s="85" t="s">
        <v>15</v>
      </c>
      <c r="D17" s="86" t="s">
        <v>6</v>
      </c>
      <c r="E17" s="246">
        <f>'Нормы расхода'!N22</f>
        <v>5</v>
      </c>
      <c r="F17" s="246"/>
      <c r="G17" s="199">
        <f>ROUNDUP(H15/5,0)-E17</f>
        <v>1</v>
      </c>
      <c r="H17" s="82">
        <f t="shared" si="0"/>
        <v>6</v>
      </c>
    </row>
    <row r="18" spans="1:9" s="2" customFormat="1" ht="12.75" hidden="1" customHeight="1" outlineLevel="1">
      <c r="A18" s="83">
        <v>9</v>
      </c>
      <c r="B18" s="91"/>
      <c r="C18" s="80" t="s">
        <v>84</v>
      </c>
      <c r="D18" s="79" t="s">
        <v>6</v>
      </c>
      <c r="E18" s="252">
        <f>CEILING(I18, 2)</f>
        <v>0</v>
      </c>
      <c r="F18" s="252"/>
      <c r="G18" s="195">
        <f>CEILING('Нормы расхода'!H4*105%,2)-E18</f>
        <v>0</v>
      </c>
      <c r="H18" s="82">
        <f t="shared" si="0"/>
        <v>0</v>
      </c>
      <c r="I18" s="53">
        <f>'Нормы расхода'!H4</f>
        <v>0</v>
      </c>
    </row>
    <row r="19" spans="1:9" s="2" customFormat="1" ht="12.75" hidden="1" customHeight="1" outlineLevel="1">
      <c r="A19" s="83">
        <v>10</v>
      </c>
      <c r="B19" s="89"/>
      <c r="C19" s="85" t="s">
        <v>82</v>
      </c>
      <c r="D19" s="86" t="s">
        <v>6</v>
      </c>
      <c r="E19" s="246">
        <f>'Нормы расхода'!U12</f>
        <v>0</v>
      </c>
      <c r="F19" s="246"/>
      <c r="G19" s="195">
        <f t="shared" si="1"/>
        <v>0</v>
      </c>
      <c r="H19" s="82">
        <f t="shared" si="0"/>
        <v>0</v>
      </c>
    </row>
    <row r="20" spans="1:9" s="2" customFormat="1" ht="12.75" hidden="1" customHeight="1" outlineLevel="1">
      <c r="A20" s="83">
        <v>11</v>
      </c>
      <c r="B20" s="89"/>
      <c r="C20" s="85" t="s">
        <v>40</v>
      </c>
      <c r="D20" s="86" t="s">
        <v>6</v>
      </c>
      <c r="E20" s="246">
        <f>'Нормы расхода'!S18</f>
        <v>0</v>
      </c>
      <c r="F20" s="246"/>
      <c r="G20" s="195">
        <f t="shared" si="1"/>
        <v>0</v>
      </c>
      <c r="H20" s="82">
        <f t="shared" si="0"/>
        <v>0</v>
      </c>
    </row>
    <row r="21" spans="1:9" s="2" customFormat="1" ht="12.75" hidden="1" customHeight="1" outlineLevel="1">
      <c r="A21" s="83">
        <v>12</v>
      </c>
      <c r="B21" s="89"/>
      <c r="C21" s="85" t="s">
        <v>41</v>
      </c>
      <c r="D21" s="86" t="s">
        <v>6</v>
      </c>
      <c r="E21" s="246">
        <f>'Нормы расхода'!U22</f>
        <v>0</v>
      </c>
      <c r="F21" s="246"/>
      <c r="G21" s="199">
        <f>ROUNDUP(H19/5,0)-E21</f>
        <v>0</v>
      </c>
      <c r="H21" s="82">
        <f t="shared" si="0"/>
        <v>0</v>
      </c>
    </row>
    <row r="22" spans="1:9" s="2" customFormat="1" ht="12.75" hidden="1" customHeight="1" outlineLevel="1">
      <c r="A22" s="83">
        <v>13</v>
      </c>
      <c r="B22" s="91"/>
      <c r="C22" s="88" t="s">
        <v>85</v>
      </c>
      <c r="D22" s="86" t="s">
        <v>6</v>
      </c>
      <c r="E22" s="252">
        <f>CEILING(I22, 2)</f>
        <v>0</v>
      </c>
      <c r="F22" s="252"/>
      <c r="G22" s="195">
        <f>CEILING('Нормы расхода'!J4*105%,2)-E22</f>
        <v>0</v>
      </c>
      <c r="H22" s="82">
        <f t="shared" si="0"/>
        <v>0</v>
      </c>
      <c r="I22" s="53">
        <f>'Нормы расхода'!J4</f>
        <v>0</v>
      </c>
    </row>
    <row r="23" spans="1:9" s="2" customFormat="1" ht="12.75" hidden="1" customHeight="1" outlineLevel="1">
      <c r="A23" s="83">
        <v>14</v>
      </c>
      <c r="B23" s="89"/>
      <c r="C23" s="85" t="s">
        <v>82</v>
      </c>
      <c r="D23" s="86" t="s">
        <v>6</v>
      </c>
      <c r="E23" s="246">
        <f>'Нормы расхода'!AB12</f>
        <v>0</v>
      </c>
      <c r="F23" s="246"/>
      <c r="G23" s="195">
        <f t="shared" si="1"/>
        <v>0</v>
      </c>
      <c r="H23" s="82">
        <f t="shared" si="0"/>
        <v>0</v>
      </c>
    </row>
    <row r="24" spans="1:9" s="2" customFormat="1" ht="12.75" hidden="1" customHeight="1" outlineLevel="1">
      <c r="A24" s="83">
        <v>15</v>
      </c>
      <c r="B24" s="89"/>
      <c r="C24" s="85" t="s">
        <v>42</v>
      </c>
      <c r="D24" s="86" t="s">
        <v>6</v>
      </c>
      <c r="E24" s="246">
        <f>'Нормы расхода'!Z18</f>
        <v>0</v>
      </c>
      <c r="F24" s="246"/>
      <c r="G24" s="195">
        <f t="shared" si="1"/>
        <v>0</v>
      </c>
      <c r="H24" s="82">
        <f t="shared" si="0"/>
        <v>0</v>
      </c>
    </row>
    <row r="25" spans="1:9" s="2" customFormat="1" ht="12.75" hidden="1" customHeight="1" outlineLevel="1">
      <c r="A25" s="83">
        <v>16</v>
      </c>
      <c r="B25" s="89"/>
      <c r="C25" s="85" t="s">
        <v>43</v>
      </c>
      <c r="D25" s="86" t="s">
        <v>6</v>
      </c>
      <c r="E25" s="246">
        <f>'Нормы расхода'!AB22</f>
        <v>0</v>
      </c>
      <c r="F25" s="246"/>
      <c r="G25" s="199">
        <f>ROUNDUP(H23/5,0)-E25</f>
        <v>0</v>
      </c>
      <c r="H25" s="82">
        <f t="shared" si="0"/>
        <v>0</v>
      </c>
    </row>
    <row r="26" spans="1:9" s="2" customFormat="1" ht="12.75" customHeight="1" outlineLevel="1" thickBot="1">
      <c r="A26" s="83">
        <v>9</v>
      </c>
      <c r="B26" s="89" t="s">
        <v>33</v>
      </c>
      <c r="C26" s="90" t="s">
        <v>16</v>
      </c>
      <c r="D26" s="91" t="s">
        <v>6</v>
      </c>
      <c r="E26" s="251">
        <f>'Нормы расхода'!U4</f>
        <v>1</v>
      </c>
      <c r="F26" s="251"/>
      <c r="G26" s="195">
        <f>CEILING('Нормы расхода'!C6/500*105%,1)-E26</f>
        <v>0</v>
      </c>
      <c r="H26" s="82">
        <f t="shared" si="0"/>
        <v>1</v>
      </c>
    </row>
    <row r="27" spans="1:9" ht="15" customHeight="1" collapsed="1" thickBot="1">
      <c r="A27" s="210" t="s">
        <v>4</v>
      </c>
      <c r="B27" s="211"/>
      <c r="C27" s="211"/>
      <c r="D27" s="211"/>
      <c r="E27" s="211"/>
      <c r="F27" s="211"/>
      <c r="G27" s="211"/>
      <c r="H27" s="212"/>
    </row>
    <row r="28" spans="1:9" ht="12.75" hidden="1" customHeight="1" outlineLevel="1">
      <c r="A28" s="78">
        <v>1</v>
      </c>
      <c r="B28" s="79"/>
      <c r="C28" s="92" t="s">
        <v>36</v>
      </c>
      <c r="D28" s="79" t="s">
        <v>5</v>
      </c>
      <c r="E28" s="252">
        <f>CEILING(I28*120%,3)</f>
        <v>0</v>
      </c>
      <c r="F28" s="252"/>
      <c r="G28" s="87">
        <f>CEILING(E28*105%,3)-E28</f>
        <v>0</v>
      </c>
      <c r="H28" s="82">
        <f t="shared" si="0"/>
        <v>0</v>
      </c>
      <c r="I28" s="162"/>
    </row>
    <row r="29" spans="1:9" ht="12.75" hidden="1" customHeight="1" outlineLevel="1">
      <c r="A29" s="83">
        <v>2</v>
      </c>
      <c r="B29" s="86"/>
      <c r="C29" s="93" t="s">
        <v>37</v>
      </c>
      <c r="D29" s="86" t="s">
        <v>5</v>
      </c>
      <c r="E29" s="252">
        <f>CEILING(I29*120%,3)</f>
        <v>0</v>
      </c>
      <c r="F29" s="252"/>
      <c r="G29" s="87">
        <f>CEILING(E29*105%,3)-E29</f>
        <v>0</v>
      </c>
      <c r="H29" s="82">
        <f t="shared" si="0"/>
        <v>0</v>
      </c>
      <c r="I29" s="162"/>
    </row>
    <row r="30" spans="1:9" s="2" customFormat="1" ht="12.75" customHeight="1" outlineLevel="1">
      <c r="A30" s="83">
        <v>1</v>
      </c>
      <c r="B30" s="86" t="s">
        <v>126</v>
      </c>
      <c r="C30" s="93" t="s">
        <v>17</v>
      </c>
      <c r="D30" s="86" t="s">
        <v>6</v>
      </c>
      <c r="E30" s="246">
        <f>'Нормы расхода'!D27</f>
        <v>31</v>
      </c>
      <c r="F30" s="246"/>
      <c r="G30" s="87">
        <f>CEILING(E30*105%,1)-E30</f>
        <v>2</v>
      </c>
      <c r="H30" s="82">
        <f t="shared" si="0"/>
        <v>33</v>
      </c>
    </row>
    <row r="31" spans="1:9" s="2" customFormat="1" ht="12.75" customHeight="1" outlineLevel="1">
      <c r="A31" s="83">
        <v>2</v>
      </c>
      <c r="B31" s="86" t="s">
        <v>127</v>
      </c>
      <c r="C31" s="93" t="s">
        <v>18</v>
      </c>
      <c r="D31" s="86" t="s">
        <v>6</v>
      </c>
      <c r="E31" s="246">
        <f>'Нормы расхода'!H27</f>
        <v>3</v>
      </c>
      <c r="F31" s="246"/>
      <c r="G31" s="87">
        <f>CEILING(E31*105%,1)-E31</f>
        <v>1</v>
      </c>
      <c r="H31" s="82">
        <f t="shared" si="0"/>
        <v>4</v>
      </c>
    </row>
    <row r="32" spans="1:9" ht="15" customHeight="1" collapsed="1">
      <c r="A32" s="83">
        <v>3</v>
      </c>
      <c r="B32" s="86" t="s">
        <v>86</v>
      </c>
      <c r="C32" s="93" t="s">
        <v>87</v>
      </c>
      <c r="D32" s="86" t="s">
        <v>6</v>
      </c>
      <c r="E32" s="247">
        <f>'Нормы расхода'!M26</f>
        <v>14</v>
      </c>
      <c r="F32" s="248"/>
      <c r="G32" s="87">
        <f t="shared" ref="G32:G33" si="2">CEILING(E32*105%,1)-E32</f>
        <v>1</v>
      </c>
      <c r="H32" s="82">
        <f t="shared" si="0"/>
        <v>15</v>
      </c>
    </row>
    <row r="33" spans="1:8" ht="12.75" hidden="1" customHeight="1" outlineLevel="1">
      <c r="A33" s="83">
        <v>6</v>
      </c>
      <c r="B33" s="86" t="s">
        <v>88</v>
      </c>
      <c r="C33" s="93" t="s">
        <v>89</v>
      </c>
      <c r="D33" s="86" t="s">
        <v>6</v>
      </c>
      <c r="E33" s="247">
        <f>'Нормы расхода'!M26</f>
        <v>14</v>
      </c>
      <c r="F33" s="248"/>
      <c r="G33" s="87">
        <f t="shared" si="2"/>
        <v>1</v>
      </c>
      <c r="H33" s="82">
        <f t="shared" si="0"/>
        <v>15</v>
      </c>
    </row>
    <row r="34" spans="1:8" ht="12.75" customHeight="1" outlineLevel="1" thickBot="1">
      <c r="A34" s="94">
        <v>4</v>
      </c>
      <c r="B34" s="91" t="s">
        <v>90</v>
      </c>
      <c r="C34" s="95" t="s">
        <v>91</v>
      </c>
      <c r="D34" s="91" t="s">
        <v>92</v>
      </c>
      <c r="E34" s="251">
        <f>'Нормы расхода'!R4</f>
        <v>15</v>
      </c>
      <c r="F34" s="251"/>
      <c r="G34" s="87">
        <f>IF(E34&lt;7,CEILING('Нормы расхода'!Q4*115%/70,1)-E34,CEILING(E34*105%,1)-E34)</f>
        <v>1</v>
      </c>
      <c r="H34" s="82">
        <f t="shared" si="0"/>
        <v>16</v>
      </c>
    </row>
    <row r="35" spans="1:8" ht="15" customHeight="1" thickBot="1">
      <c r="A35" s="213" t="s">
        <v>19</v>
      </c>
      <c r="B35" s="214"/>
      <c r="C35" s="214"/>
      <c r="D35" s="214"/>
      <c r="E35" s="214"/>
      <c r="F35" s="214"/>
      <c r="G35" s="214"/>
      <c r="H35" s="215"/>
    </row>
    <row r="36" spans="1:8" ht="12.75" customHeight="1" outlineLevel="1">
      <c r="A36" s="96">
        <v>1</v>
      </c>
      <c r="B36" s="97"/>
      <c r="C36" s="98" t="s">
        <v>129</v>
      </c>
      <c r="D36" s="97" t="s">
        <v>5</v>
      </c>
      <c r="E36" s="250">
        <f>'Нормы расхода'!D22</f>
        <v>65</v>
      </c>
      <c r="F36" s="250"/>
      <c r="G36" s="99">
        <f t="shared" ref="G36:G41" si="3">CEILING(E36*105%,1)-E36</f>
        <v>4</v>
      </c>
      <c r="H36" s="100">
        <f>SUM(E36:G36)</f>
        <v>69</v>
      </c>
    </row>
    <row r="37" spans="1:8" ht="12.75" customHeight="1" outlineLevel="1">
      <c r="A37" s="83">
        <v>2</v>
      </c>
      <c r="B37" s="86"/>
      <c r="C37" s="93" t="s">
        <v>22</v>
      </c>
      <c r="D37" s="86" t="s">
        <v>5</v>
      </c>
      <c r="E37" s="246">
        <v>23.5</v>
      </c>
      <c r="F37" s="246"/>
      <c r="G37" s="87">
        <f t="shared" si="3"/>
        <v>1.5</v>
      </c>
      <c r="H37" s="101">
        <f t="shared" ref="H37:H41" si="4">SUM(E37:G37)</f>
        <v>25</v>
      </c>
    </row>
    <row r="38" spans="1:8" ht="12.75" customHeight="1" outlineLevel="1">
      <c r="A38" s="83">
        <v>3</v>
      </c>
      <c r="B38" s="86"/>
      <c r="C38" s="93" t="s">
        <v>23</v>
      </c>
      <c r="D38" s="86" t="s">
        <v>5</v>
      </c>
      <c r="E38" s="246">
        <v>54</v>
      </c>
      <c r="F38" s="246"/>
      <c r="G38" s="87">
        <f t="shared" si="3"/>
        <v>3</v>
      </c>
      <c r="H38" s="101">
        <f t="shared" si="4"/>
        <v>57</v>
      </c>
    </row>
    <row r="39" spans="1:8" ht="12" customHeight="1" outlineLevel="1">
      <c r="A39" s="83">
        <v>4</v>
      </c>
      <c r="B39" s="86"/>
      <c r="C39" s="93" t="s">
        <v>44</v>
      </c>
      <c r="D39" s="86" t="s">
        <v>5</v>
      </c>
      <c r="E39" s="247">
        <f>'Нормы расхода'!D20</f>
        <v>21</v>
      </c>
      <c r="F39" s="248"/>
      <c r="G39" s="87">
        <f t="shared" si="3"/>
        <v>2</v>
      </c>
      <c r="H39" s="101">
        <f t="shared" si="4"/>
        <v>23</v>
      </c>
    </row>
    <row r="40" spans="1:8" ht="12.75" hidden="1" customHeight="1" outlineLevel="1">
      <c r="A40" s="83">
        <v>5</v>
      </c>
      <c r="B40" s="86"/>
      <c r="C40" s="93" t="s">
        <v>24</v>
      </c>
      <c r="D40" s="86" t="s">
        <v>5</v>
      </c>
      <c r="E40" s="246"/>
      <c r="F40" s="246"/>
      <c r="G40" s="87">
        <f t="shared" si="3"/>
        <v>0</v>
      </c>
      <c r="H40" s="101">
        <f t="shared" si="4"/>
        <v>0</v>
      </c>
    </row>
    <row r="41" spans="1:8" ht="9.75" hidden="1" customHeight="1" outlineLevel="1" thickBot="1">
      <c r="A41" s="102">
        <v>6</v>
      </c>
      <c r="B41" s="103"/>
      <c r="C41" s="104" t="s">
        <v>20</v>
      </c>
      <c r="D41" s="103" t="s">
        <v>5</v>
      </c>
      <c r="E41" s="249"/>
      <c r="F41" s="249"/>
      <c r="G41" s="105">
        <f t="shared" si="3"/>
        <v>0</v>
      </c>
      <c r="H41" s="106">
        <f t="shared" si="4"/>
        <v>0</v>
      </c>
    </row>
    <row r="42" spans="1:8" ht="15" customHeight="1">
      <c r="A42" s="107"/>
      <c r="B42" s="107"/>
      <c r="C42" s="107"/>
      <c r="D42" s="108"/>
      <c r="E42" s="109"/>
      <c r="F42" s="109"/>
      <c r="G42" s="110"/>
      <c r="H42" s="111"/>
    </row>
    <row r="43" spans="1:8">
      <c r="A43" s="241"/>
      <c r="B43" s="241"/>
      <c r="C43" s="241"/>
      <c r="D43" s="241"/>
      <c r="E43" s="241"/>
      <c r="F43" s="241"/>
      <c r="G43" s="241"/>
      <c r="H43" s="241"/>
    </row>
    <row r="44" spans="1:8" ht="15" customHeight="1">
      <c r="A44" s="240"/>
      <c r="B44" s="240"/>
      <c r="C44" s="240"/>
      <c r="D44" s="240"/>
      <c r="E44" s="242"/>
      <c r="F44" s="242"/>
      <c r="G44" s="242"/>
      <c r="H44" s="242"/>
    </row>
    <row r="45" spans="1:8">
      <c r="A45" s="240"/>
      <c r="B45" s="240"/>
      <c r="C45" s="240"/>
      <c r="D45" s="240"/>
      <c r="E45" s="242"/>
      <c r="F45" s="242"/>
      <c r="G45" s="242"/>
      <c r="H45" s="242"/>
    </row>
    <row r="46" spans="1:8">
      <c r="A46" s="240"/>
      <c r="B46" s="240"/>
      <c r="C46" s="240"/>
      <c r="D46" s="240"/>
      <c r="E46" s="242"/>
      <c r="F46" s="242"/>
      <c r="G46" s="242"/>
      <c r="H46" s="242"/>
    </row>
    <row r="47" spans="1:8" ht="16.5" customHeight="1">
      <c r="A47" s="240"/>
      <c r="B47" s="240"/>
      <c r="C47" s="240"/>
      <c r="D47" s="240"/>
      <c r="E47" s="242"/>
      <c r="F47" s="242"/>
      <c r="G47" s="242"/>
      <c r="H47" s="242"/>
    </row>
    <row r="48" spans="1:8" ht="15" customHeight="1">
      <c r="E48" s="75"/>
      <c r="F48" s="75"/>
      <c r="G48" s="75"/>
      <c r="H48" s="75"/>
    </row>
    <row r="49" spans="1:8">
      <c r="A49" s="61"/>
      <c r="B49" s="61"/>
      <c r="C49" s="61"/>
      <c r="D49" s="61"/>
      <c r="E49" s="114"/>
      <c r="F49" s="114"/>
      <c r="G49" s="114"/>
      <c r="H49" s="114"/>
    </row>
    <row r="50" spans="1:8">
      <c r="A50" s="61"/>
      <c r="B50" s="61"/>
      <c r="C50" s="61"/>
      <c r="D50" s="61"/>
      <c r="E50" s="114"/>
      <c r="F50" s="114"/>
      <c r="G50" s="114"/>
      <c r="H50" s="114"/>
    </row>
    <row r="51" spans="1:8">
      <c r="A51" s="61"/>
      <c r="B51" s="61"/>
      <c r="C51" s="61"/>
      <c r="D51" s="61"/>
      <c r="E51" s="114"/>
      <c r="F51" s="114"/>
      <c r="G51" s="114"/>
      <c r="H51" s="114"/>
    </row>
    <row r="52" spans="1:8">
      <c r="A52" s="61"/>
      <c r="B52" s="61"/>
      <c r="C52" s="61"/>
      <c r="D52" s="61"/>
      <c r="E52" s="114"/>
      <c r="F52" s="114"/>
      <c r="G52" s="114"/>
      <c r="H52" s="114"/>
    </row>
  </sheetData>
  <sheetProtection formatColumns="0" selectLockedCells="1" selectUnlockedCells="1"/>
  <mergeCells count="52">
    <mergeCell ref="A1:H1"/>
    <mergeCell ref="A2:D2"/>
    <mergeCell ref="E2:H2"/>
    <mergeCell ref="A3:B3"/>
    <mergeCell ref="C3:E3"/>
    <mergeCell ref="G3:H3"/>
    <mergeCell ref="E12:F12"/>
    <mergeCell ref="A4:E4"/>
    <mergeCell ref="F4:F5"/>
    <mergeCell ref="G4:H4"/>
    <mergeCell ref="A5:E5"/>
    <mergeCell ref="G5:H5"/>
    <mergeCell ref="A6:C6"/>
    <mergeCell ref="D6:H6"/>
    <mergeCell ref="A7:H7"/>
    <mergeCell ref="E8:F8"/>
    <mergeCell ref="A9:H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E26:F26"/>
    <mergeCell ref="A27:H27"/>
    <mergeCell ref="E28:F28"/>
    <mergeCell ref="E29:F29"/>
    <mergeCell ref="E30:F30"/>
    <mergeCell ref="E31:F31"/>
    <mergeCell ref="E32:F32"/>
    <mergeCell ref="E33:F33"/>
    <mergeCell ref="E34:F34"/>
    <mergeCell ref="A35:H35"/>
    <mergeCell ref="A44:D47"/>
    <mergeCell ref="E44:H47"/>
    <mergeCell ref="E37:F37"/>
    <mergeCell ref="E38:F38"/>
    <mergeCell ref="E39:F39"/>
    <mergeCell ref="E40:F40"/>
    <mergeCell ref="E41:F41"/>
    <mergeCell ref="A43:D43"/>
    <mergeCell ref="E43:H43"/>
  </mergeCells>
  <conditionalFormatting sqref="E2:H2">
    <cfRule type="beginsWith" dxfId="21" priority="1" operator="beginsWith" text="Заполнить">
      <formula>LEFT(E2,LEN("Заполнить"))="Заполнить"</formula>
    </cfRule>
  </conditionalFormatting>
  <printOptions horizontalCentered="1"/>
  <pageMargins left="0.25" right="0.25" top="0.75" bottom="0.75" header="0.3" footer="0.3"/>
  <pageSetup paperSize="9" orientation="portrait" horizontalDpi="1200" verticalDpi="1200" r:id="rId1"/>
  <headerFooter differentFirst="1" alignWithMargins="0">
    <oddHeader xml:space="preserve">&amp;R8(800)555-1026
www.fasad.karkas.ru 
</oddHeader>
    <oddFooter xml:space="preserve">&amp;L&amp;P из &amp;N&amp;R&amp;"-,полужирный"&amp;14&amp;K00-044 </oddFooter>
  </headerFooter>
  <ignoredErrors>
    <ignoredError sqref="G18 G22" formula="1"/>
  </ignoredErrors>
  <drawing r:id="rId2"/>
  <legacyDrawing r:id="rId3"/>
  <extLst xmlns:xr="http://schemas.microsoft.com/office/spreadsheetml/2014/revision"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3" id="{529E59AC-D8D2-4117-9899-1436CE86767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I2</xm:sqref>
        </x14:conditionalFormatting>
      </x14:conditionalFormattings>
    </ext>
    <ext uri="{CCE6A557-97BC-4b89-ADB6-D9C93CAAB3DF}">
      <x14:dataValidations xmlns:xm="http://schemas.microsoft.com/office/excel/2006/main" disablePrompts="1" count="1">
        <x14:dataValidation type="list" showInputMessage="1" showErrorMessage="1" xr:uid="{00000000-0002-0000-0100-000000000000}">
          <x14:formula1>
            <xm:f>исходные!$A$1:$A$4</xm:f>
          </x14:formula1>
          <xm:sqref>D6:H6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2"/>
  <sheetViews>
    <sheetView view="pageLayout" topLeftCell="C33" zoomScaleNormal="100" workbookViewId="0">
      <selection activeCell="A54" sqref="A54:D57"/>
    </sheetView>
  </sheetViews>
  <sheetFormatPr defaultRowHeight="15" outlineLevelRow="1"/>
  <cols>
    <col min="1" max="1" width="4.28515625" style="112" customWidth="1" collapsed="1"/>
    <col min="2" max="2" width="9.42578125" style="112" customWidth="1"/>
    <col min="3" max="3" width="32.42578125" style="113" bestFit="1" customWidth="1" collapsed="1"/>
    <col min="4" max="4" width="5.28515625" style="112" bestFit="1" customWidth="1" collapsed="1"/>
    <col min="5" max="5" width="10.140625" style="115" customWidth="1" collapsed="1"/>
    <col min="6" max="6" width="10.140625" style="115" customWidth="1"/>
    <col min="7" max="7" width="10.140625" style="115" customWidth="1" collapsed="1"/>
    <col min="8" max="8" width="12.7109375" style="115" customWidth="1" collapsed="1"/>
    <col min="9" max="16384" width="9.140625" style="61"/>
  </cols>
  <sheetData>
    <row r="1" spans="1:9" ht="35.25" customHeight="1">
      <c r="A1" s="264" t="s">
        <v>111</v>
      </c>
      <c r="B1" s="264"/>
      <c r="C1" s="263"/>
      <c r="D1" s="263"/>
      <c r="E1" s="263"/>
      <c r="F1" s="263"/>
      <c r="G1" s="263"/>
      <c r="H1" s="263"/>
    </row>
    <row r="2" spans="1:9" ht="15.75" customHeight="1" thickBot="1">
      <c r="A2" s="221" t="s">
        <v>7</v>
      </c>
      <c r="B2" s="221"/>
      <c r="C2" s="221"/>
      <c r="D2" s="221"/>
      <c r="E2" s="222" t="s">
        <v>124</v>
      </c>
      <c r="F2" s="222"/>
      <c r="G2" s="222"/>
      <c r="H2" s="222"/>
      <c r="I2" s="12">
        <f ca="1">IF(E2=TODAY(),1,0)</f>
        <v>0</v>
      </c>
    </row>
    <row r="3" spans="1:9" ht="27.75" customHeight="1" thickBot="1">
      <c r="A3" s="265" t="s">
        <v>25</v>
      </c>
      <c r="B3" s="266"/>
      <c r="C3" s="267"/>
      <c r="D3" s="267"/>
      <c r="E3" s="267"/>
      <c r="F3" s="14" t="s">
        <v>9</v>
      </c>
      <c r="G3" s="228" t="s">
        <v>10</v>
      </c>
      <c r="H3" s="229"/>
    </row>
    <row r="4" spans="1:9">
      <c r="A4" s="253" t="s">
        <v>48</v>
      </c>
      <c r="B4" s="254"/>
      <c r="C4" s="254"/>
      <c r="D4" s="254"/>
      <c r="E4" s="254"/>
      <c r="F4" s="255" t="s">
        <v>27</v>
      </c>
      <c r="G4" s="253">
        <f>'Нормы расхода'!B4</f>
        <v>164.77</v>
      </c>
      <c r="H4" s="257"/>
    </row>
    <row r="5" spans="1:9" ht="15.75" thickBot="1">
      <c r="A5" s="258" t="s">
        <v>49</v>
      </c>
      <c r="B5" s="259"/>
      <c r="C5" s="259"/>
      <c r="D5" s="259"/>
      <c r="E5" s="259"/>
      <c r="F5" s="256"/>
      <c r="G5" s="258">
        <f>'Нормы расхода'!C6</f>
        <v>184.71</v>
      </c>
      <c r="H5" s="260"/>
    </row>
    <row r="6" spans="1:9" ht="15" customHeight="1">
      <c r="A6" s="261" t="s">
        <v>8</v>
      </c>
      <c r="B6" s="261"/>
      <c r="C6" s="261"/>
      <c r="D6" s="262" t="s">
        <v>26</v>
      </c>
      <c r="E6" s="262"/>
      <c r="F6" s="262"/>
      <c r="G6" s="262"/>
      <c r="H6" s="262"/>
    </row>
    <row r="7" spans="1:9" ht="16.5" thickBot="1">
      <c r="A7" s="263"/>
      <c r="B7" s="263"/>
      <c r="C7" s="263"/>
      <c r="D7" s="263"/>
      <c r="E7" s="263"/>
      <c r="F7" s="263"/>
      <c r="G7" s="263"/>
      <c r="H7" s="263"/>
    </row>
    <row r="8" spans="1:9" s="2" customFormat="1" ht="30.75" customHeight="1" thickBot="1">
      <c r="A8" s="76" t="s">
        <v>0</v>
      </c>
      <c r="B8" s="77" t="s">
        <v>11</v>
      </c>
      <c r="C8" s="27" t="s">
        <v>1</v>
      </c>
      <c r="D8" s="27" t="s">
        <v>2</v>
      </c>
      <c r="E8" s="218" t="s">
        <v>28</v>
      </c>
      <c r="F8" s="218"/>
      <c r="G8" s="74" t="s">
        <v>45</v>
      </c>
      <c r="H8" s="38" t="s">
        <v>46</v>
      </c>
      <c r="I8" s="10" t="s">
        <v>47</v>
      </c>
    </row>
    <row r="9" spans="1:9" s="2" customFormat="1" ht="15" customHeight="1" thickBot="1">
      <c r="A9" s="207" t="s">
        <v>3</v>
      </c>
      <c r="B9" s="208"/>
      <c r="C9" s="208"/>
      <c r="D9" s="208"/>
      <c r="E9" s="208"/>
      <c r="F9" s="208"/>
      <c r="G9" s="208"/>
      <c r="H9" s="209"/>
    </row>
    <row r="10" spans="1:9" s="2" customFormat="1" ht="12.75" customHeight="1" outlineLevel="1">
      <c r="A10" s="78">
        <v>1</v>
      </c>
      <c r="B10" s="79"/>
      <c r="C10" s="80" t="s">
        <v>81</v>
      </c>
      <c r="D10" s="79" t="s">
        <v>6</v>
      </c>
      <c r="E10" s="252">
        <f>CEILING(I10, 2)</f>
        <v>92</v>
      </c>
      <c r="F10" s="252"/>
      <c r="G10" s="81">
        <f>CEILING('Нормы расхода'!F4*105%,2)-E10</f>
        <v>6</v>
      </c>
      <c r="H10" s="82">
        <f>SUM(E10:G10)</f>
        <v>98</v>
      </c>
      <c r="I10" s="53">
        <f>'Нормы расхода'!F4</f>
        <v>92</v>
      </c>
    </row>
    <row r="11" spans="1:9" s="2" customFormat="1" ht="12.75" customHeight="1" outlineLevel="1">
      <c r="A11" s="83">
        <v>2</v>
      </c>
      <c r="B11" s="84"/>
      <c r="C11" s="85" t="s">
        <v>82</v>
      </c>
      <c r="D11" s="86" t="s">
        <v>6</v>
      </c>
      <c r="E11" s="246">
        <f>'Нормы расхода'!G12</f>
        <v>9</v>
      </c>
      <c r="F11" s="246"/>
      <c r="G11" s="193">
        <f>CEILING(E11*105%,1)-E11</f>
        <v>1</v>
      </c>
      <c r="H11" s="82">
        <f t="shared" ref="H11:H38" si="0">SUM(E11:G11)</f>
        <v>10</v>
      </c>
    </row>
    <row r="12" spans="1:9" s="2" customFormat="1" ht="12.75" customHeight="1" outlineLevel="1">
      <c r="A12" s="83">
        <v>3</v>
      </c>
      <c r="B12" s="84"/>
      <c r="C12" s="85" t="s">
        <v>12</v>
      </c>
      <c r="D12" s="86" t="s">
        <v>6</v>
      </c>
      <c r="E12" s="246">
        <f>'Нормы расхода'!E18</f>
        <v>1</v>
      </c>
      <c r="F12" s="246"/>
      <c r="G12" s="195">
        <f t="shared" ref="G12:G24" si="1">CEILING(E12*105%,1)-E12</f>
        <v>1</v>
      </c>
      <c r="H12" s="82">
        <f t="shared" si="0"/>
        <v>2</v>
      </c>
    </row>
    <row r="13" spans="1:9" s="2" customFormat="1" ht="12.75" customHeight="1" outlineLevel="1">
      <c r="A13" s="83">
        <v>4</v>
      </c>
      <c r="B13" s="84"/>
      <c r="C13" s="85" t="s">
        <v>13</v>
      </c>
      <c r="D13" s="86" t="s">
        <v>6</v>
      </c>
      <c r="E13" s="246">
        <f>'Нормы расхода'!G22</f>
        <v>2</v>
      </c>
      <c r="F13" s="246"/>
      <c r="G13" s="195">
        <f>ROUNDUP(H11/5,0)-E13</f>
        <v>0</v>
      </c>
      <c r="H13" s="82">
        <f t="shared" si="0"/>
        <v>2</v>
      </c>
    </row>
    <row r="14" spans="1:9" s="2" customFormat="1" ht="12.75" customHeight="1" outlineLevel="1">
      <c r="A14" s="83">
        <v>5</v>
      </c>
      <c r="B14" s="86"/>
      <c r="C14" s="88" t="s">
        <v>83</v>
      </c>
      <c r="D14" s="86" t="s">
        <v>6</v>
      </c>
      <c r="E14" s="252">
        <f>CEILING(I14, 2)</f>
        <v>58</v>
      </c>
      <c r="F14" s="252"/>
      <c r="G14" s="195">
        <f>CEILING('Нормы расхода'!G4*105%,2)-E14</f>
        <v>4</v>
      </c>
      <c r="H14" s="82">
        <f t="shared" si="0"/>
        <v>62</v>
      </c>
      <c r="I14" s="53">
        <f>'Нормы расхода'!G4</f>
        <v>58</v>
      </c>
    </row>
    <row r="15" spans="1:9" s="2" customFormat="1" ht="12.75" customHeight="1" outlineLevel="1">
      <c r="A15" s="83">
        <v>6</v>
      </c>
      <c r="B15" s="84"/>
      <c r="C15" s="85" t="s">
        <v>82</v>
      </c>
      <c r="D15" s="86" t="s">
        <v>6</v>
      </c>
      <c r="E15" s="247">
        <f>'Нормы расхода'!N12</f>
        <v>24</v>
      </c>
      <c r="F15" s="248"/>
      <c r="G15" s="195">
        <f t="shared" si="1"/>
        <v>2</v>
      </c>
      <c r="H15" s="82">
        <f>SUM(E15:G15)</f>
        <v>26</v>
      </c>
    </row>
    <row r="16" spans="1:9" s="2" customFormat="1" ht="12.75" customHeight="1" outlineLevel="1">
      <c r="A16" s="83">
        <v>7</v>
      </c>
      <c r="B16" s="84"/>
      <c r="C16" s="85" t="s">
        <v>14</v>
      </c>
      <c r="D16" s="86" t="s">
        <v>6</v>
      </c>
      <c r="E16" s="246">
        <f>'Нормы расхода'!L18</f>
        <v>1</v>
      </c>
      <c r="F16" s="246"/>
      <c r="G16" s="195">
        <f t="shared" si="1"/>
        <v>1</v>
      </c>
      <c r="H16" s="82">
        <f t="shared" si="0"/>
        <v>2</v>
      </c>
    </row>
    <row r="17" spans="1:9" s="2" customFormat="1" ht="12.75" customHeight="1" outlineLevel="1">
      <c r="A17" s="83">
        <v>8</v>
      </c>
      <c r="B17" s="84"/>
      <c r="C17" s="85" t="s">
        <v>15</v>
      </c>
      <c r="D17" s="86" t="s">
        <v>6</v>
      </c>
      <c r="E17" s="246">
        <f>'Нормы расхода'!N22</f>
        <v>5</v>
      </c>
      <c r="F17" s="246"/>
      <c r="G17" s="199">
        <f>ROUNDUP(H15/5,0)-E17</f>
        <v>1</v>
      </c>
      <c r="H17" s="82">
        <f t="shared" si="0"/>
        <v>6</v>
      </c>
    </row>
    <row r="18" spans="1:9" s="2" customFormat="1" ht="12.75" customHeight="1" outlineLevel="1">
      <c r="A18" s="83">
        <v>9</v>
      </c>
      <c r="B18" s="91"/>
      <c r="C18" s="80" t="s">
        <v>84</v>
      </c>
      <c r="D18" s="79" t="s">
        <v>6</v>
      </c>
      <c r="E18" s="252">
        <f>CEILING(I18, 2)</f>
        <v>0</v>
      </c>
      <c r="F18" s="252"/>
      <c r="G18" s="195">
        <f>CEILING('Нормы расхода'!H4*105%,2)-E18</f>
        <v>0</v>
      </c>
      <c r="H18" s="82">
        <f t="shared" si="0"/>
        <v>0</v>
      </c>
      <c r="I18" s="53">
        <f>'Нормы расхода'!H4</f>
        <v>0</v>
      </c>
    </row>
    <row r="19" spans="1:9" s="2" customFormat="1" ht="12.75" customHeight="1" outlineLevel="1">
      <c r="A19" s="83">
        <v>10</v>
      </c>
      <c r="B19" s="89"/>
      <c r="C19" s="85" t="s">
        <v>82</v>
      </c>
      <c r="D19" s="86" t="s">
        <v>6</v>
      </c>
      <c r="E19" s="246">
        <f>'Нормы расхода'!U12</f>
        <v>0</v>
      </c>
      <c r="F19" s="246"/>
      <c r="G19" s="195">
        <f t="shared" si="1"/>
        <v>0</v>
      </c>
      <c r="H19" s="82">
        <f t="shared" si="0"/>
        <v>0</v>
      </c>
    </row>
    <row r="20" spans="1:9" s="2" customFormat="1" ht="12.75" customHeight="1" outlineLevel="1">
      <c r="A20" s="83">
        <v>11</v>
      </c>
      <c r="B20" s="89"/>
      <c r="C20" s="85" t="s">
        <v>40</v>
      </c>
      <c r="D20" s="86" t="s">
        <v>6</v>
      </c>
      <c r="E20" s="246">
        <f>'Нормы расхода'!S18</f>
        <v>0</v>
      </c>
      <c r="F20" s="246"/>
      <c r="G20" s="195">
        <f t="shared" si="1"/>
        <v>0</v>
      </c>
      <c r="H20" s="82">
        <f t="shared" si="0"/>
        <v>0</v>
      </c>
    </row>
    <row r="21" spans="1:9" s="2" customFormat="1" ht="12.75" customHeight="1" outlineLevel="1">
      <c r="A21" s="83">
        <v>12</v>
      </c>
      <c r="B21" s="89"/>
      <c r="C21" s="85" t="s">
        <v>41</v>
      </c>
      <c r="D21" s="86" t="s">
        <v>6</v>
      </c>
      <c r="E21" s="246">
        <f>'Нормы расхода'!U22</f>
        <v>0</v>
      </c>
      <c r="F21" s="246"/>
      <c r="G21" s="199">
        <f>ROUNDUP(H19/5,0)-E21</f>
        <v>0</v>
      </c>
      <c r="H21" s="82">
        <f t="shared" si="0"/>
        <v>0</v>
      </c>
    </row>
    <row r="22" spans="1:9" s="2" customFormat="1" ht="12.75" customHeight="1" outlineLevel="1">
      <c r="A22" s="83">
        <v>13</v>
      </c>
      <c r="B22" s="91"/>
      <c r="C22" s="88" t="s">
        <v>85</v>
      </c>
      <c r="D22" s="86" t="s">
        <v>6</v>
      </c>
      <c r="E22" s="252">
        <f>CEILING(I22, 2)</f>
        <v>0</v>
      </c>
      <c r="F22" s="252"/>
      <c r="G22" s="195">
        <f>CEILING('Нормы расхода'!J4*105%,2)-E22</f>
        <v>0</v>
      </c>
      <c r="H22" s="82">
        <f t="shared" si="0"/>
        <v>0</v>
      </c>
      <c r="I22" s="53">
        <f>'Нормы расхода'!J4</f>
        <v>0</v>
      </c>
    </row>
    <row r="23" spans="1:9" s="2" customFormat="1" ht="12.75" customHeight="1" outlineLevel="1">
      <c r="A23" s="83">
        <v>14</v>
      </c>
      <c r="B23" s="89"/>
      <c r="C23" s="85" t="s">
        <v>82</v>
      </c>
      <c r="D23" s="86" t="s">
        <v>6</v>
      </c>
      <c r="E23" s="246">
        <f>'Нормы расхода'!AB12</f>
        <v>0</v>
      </c>
      <c r="F23" s="246"/>
      <c r="G23" s="195">
        <f t="shared" si="1"/>
        <v>0</v>
      </c>
      <c r="H23" s="82">
        <f t="shared" si="0"/>
        <v>0</v>
      </c>
    </row>
    <row r="24" spans="1:9" s="2" customFormat="1" ht="12.75" customHeight="1" outlineLevel="1">
      <c r="A24" s="83">
        <v>15</v>
      </c>
      <c r="B24" s="89"/>
      <c r="C24" s="85" t="s">
        <v>42</v>
      </c>
      <c r="D24" s="86" t="s">
        <v>6</v>
      </c>
      <c r="E24" s="246">
        <f>'Нормы расхода'!Z18</f>
        <v>0</v>
      </c>
      <c r="F24" s="246"/>
      <c r="G24" s="195">
        <f t="shared" si="1"/>
        <v>0</v>
      </c>
      <c r="H24" s="82">
        <f t="shared" si="0"/>
        <v>0</v>
      </c>
    </row>
    <row r="25" spans="1:9" s="2" customFormat="1" ht="12.75" customHeight="1" outlineLevel="1">
      <c r="A25" s="83">
        <v>16</v>
      </c>
      <c r="B25" s="89"/>
      <c r="C25" s="85" t="s">
        <v>43</v>
      </c>
      <c r="D25" s="86" t="s">
        <v>6</v>
      </c>
      <c r="E25" s="246">
        <f>'Нормы расхода'!AB22</f>
        <v>0</v>
      </c>
      <c r="F25" s="246"/>
      <c r="G25" s="199">
        <f>ROUNDUP(H23/5,0)-E25</f>
        <v>0</v>
      </c>
      <c r="H25" s="82">
        <f t="shared" si="0"/>
        <v>0</v>
      </c>
    </row>
    <row r="26" spans="1:9" s="2" customFormat="1" ht="12.75" customHeight="1" outlineLevel="1" thickBot="1">
      <c r="A26" s="83">
        <v>17</v>
      </c>
      <c r="B26" s="89" t="s">
        <v>33</v>
      </c>
      <c r="C26" s="90" t="s">
        <v>16</v>
      </c>
      <c r="D26" s="91" t="s">
        <v>6</v>
      </c>
      <c r="E26" s="251">
        <f>'Нормы расхода'!U4</f>
        <v>1</v>
      </c>
      <c r="F26" s="251"/>
      <c r="G26" s="195">
        <f>CEILING('Нормы расхода'!C6/500*105%,1)-E26</f>
        <v>0</v>
      </c>
      <c r="H26" s="82">
        <f t="shared" si="0"/>
        <v>1</v>
      </c>
    </row>
    <row r="27" spans="1:9" ht="15" customHeight="1" thickBot="1">
      <c r="A27" s="210" t="s">
        <v>4</v>
      </c>
      <c r="B27" s="211"/>
      <c r="C27" s="211"/>
      <c r="D27" s="211"/>
      <c r="E27" s="211"/>
      <c r="F27" s="211"/>
      <c r="G27" s="211"/>
      <c r="H27" s="212"/>
    </row>
    <row r="28" spans="1:9" ht="12.75" customHeight="1" outlineLevel="1">
      <c r="A28" s="78">
        <v>1</v>
      </c>
      <c r="B28" s="79"/>
      <c r="C28" s="92" t="s">
        <v>93</v>
      </c>
      <c r="D28" s="79" t="s">
        <v>5</v>
      </c>
      <c r="E28" s="252">
        <f>CEILING(I28*105%,3)</f>
        <v>0</v>
      </c>
      <c r="F28" s="252"/>
      <c r="G28" s="87">
        <f>CEILING(E28*105%,3)-E28</f>
        <v>0</v>
      </c>
      <c r="H28" s="82">
        <f t="shared" si="0"/>
        <v>0</v>
      </c>
      <c r="I28" s="163"/>
    </row>
    <row r="29" spans="1:9" ht="12.75" customHeight="1" outlineLevel="1">
      <c r="A29" s="83">
        <v>2</v>
      </c>
      <c r="B29" s="86"/>
      <c r="C29" s="93" t="s">
        <v>94</v>
      </c>
      <c r="D29" s="86" t="s">
        <v>5</v>
      </c>
      <c r="E29" s="252">
        <f>CEILING(I29*110%,3)</f>
        <v>0</v>
      </c>
      <c r="F29" s="252"/>
      <c r="G29" s="87">
        <f>CEILING(E29*105%,3)-E29</f>
        <v>0</v>
      </c>
      <c r="H29" s="82">
        <f t="shared" si="0"/>
        <v>0</v>
      </c>
      <c r="I29" s="163"/>
    </row>
    <row r="30" spans="1:9" s="2" customFormat="1" ht="12.75" customHeight="1" outlineLevel="1">
      <c r="A30" s="83">
        <v>3</v>
      </c>
      <c r="B30" s="86"/>
      <c r="C30" s="93" t="s">
        <v>95</v>
      </c>
      <c r="D30" s="86" t="s">
        <v>5</v>
      </c>
      <c r="E30" s="246"/>
      <c r="F30" s="246"/>
      <c r="G30" s="87">
        <f t="shared" ref="G30:G37" si="2">CEILING(E30*105%,1)-E30</f>
        <v>0</v>
      </c>
      <c r="H30" s="82">
        <f t="shared" si="0"/>
        <v>0</v>
      </c>
      <c r="I30" s="137"/>
    </row>
    <row r="31" spans="1:9" s="2" customFormat="1" ht="12.75" customHeight="1" outlineLevel="1">
      <c r="A31" s="83">
        <v>4</v>
      </c>
      <c r="B31" s="86"/>
      <c r="C31" s="93" t="s">
        <v>96</v>
      </c>
      <c r="D31" s="86" t="s">
        <v>6</v>
      </c>
      <c r="E31" s="252">
        <f>CEILING(I31*102%,1)</f>
        <v>0</v>
      </c>
      <c r="F31" s="252"/>
      <c r="G31" s="87">
        <f t="shared" si="2"/>
        <v>0</v>
      </c>
      <c r="H31" s="82">
        <f t="shared" si="0"/>
        <v>0</v>
      </c>
      <c r="I31" s="163"/>
    </row>
    <row r="32" spans="1:9" ht="12.75" customHeight="1">
      <c r="A32" s="83">
        <v>5</v>
      </c>
      <c r="B32" s="86"/>
      <c r="C32" s="93" t="s">
        <v>97</v>
      </c>
      <c r="D32" s="86" t="s">
        <v>6</v>
      </c>
      <c r="E32" s="246">
        <f>E31</f>
        <v>0</v>
      </c>
      <c r="F32" s="246"/>
      <c r="G32" s="87">
        <f t="shared" si="2"/>
        <v>0</v>
      </c>
      <c r="H32" s="82">
        <f t="shared" si="0"/>
        <v>0</v>
      </c>
    </row>
    <row r="33" spans="1:8" ht="12.75" customHeight="1" outlineLevel="1">
      <c r="A33" s="83">
        <v>6</v>
      </c>
      <c r="B33" s="86"/>
      <c r="C33" s="93" t="s">
        <v>98</v>
      </c>
      <c r="D33" s="86" t="s">
        <v>6</v>
      </c>
      <c r="E33" s="246">
        <f>E31</f>
        <v>0</v>
      </c>
      <c r="F33" s="246"/>
      <c r="G33" s="87">
        <f t="shared" si="2"/>
        <v>0</v>
      </c>
      <c r="H33" s="82">
        <f t="shared" si="0"/>
        <v>0</v>
      </c>
    </row>
    <row r="34" spans="1:8" ht="12.75" customHeight="1" outlineLevel="1">
      <c r="A34" s="83">
        <v>7</v>
      </c>
      <c r="B34" s="86" t="s">
        <v>126</v>
      </c>
      <c r="C34" s="93" t="s">
        <v>17</v>
      </c>
      <c r="D34" s="86" t="s">
        <v>6</v>
      </c>
      <c r="E34" s="246">
        <f>'Нормы расхода'!D27</f>
        <v>31</v>
      </c>
      <c r="F34" s="246"/>
      <c r="G34" s="87">
        <f t="shared" si="2"/>
        <v>2</v>
      </c>
      <c r="H34" s="82">
        <f t="shared" si="0"/>
        <v>33</v>
      </c>
    </row>
    <row r="35" spans="1:8" ht="15" customHeight="1">
      <c r="A35" s="83">
        <v>8</v>
      </c>
      <c r="B35" s="86" t="s">
        <v>127</v>
      </c>
      <c r="C35" s="93" t="s">
        <v>18</v>
      </c>
      <c r="D35" s="86" t="s">
        <v>6</v>
      </c>
      <c r="E35" s="246">
        <f>'Нормы расхода'!H27</f>
        <v>3</v>
      </c>
      <c r="F35" s="246"/>
      <c r="G35" s="87">
        <f t="shared" si="2"/>
        <v>1</v>
      </c>
      <c r="H35" s="82">
        <f t="shared" si="0"/>
        <v>4</v>
      </c>
    </row>
    <row r="36" spans="1:8" ht="12.75" customHeight="1" outlineLevel="1">
      <c r="A36" s="83">
        <v>9</v>
      </c>
      <c r="B36" s="86" t="s">
        <v>86</v>
      </c>
      <c r="C36" s="93" t="s">
        <v>87</v>
      </c>
      <c r="D36" s="86" t="s">
        <v>6</v>
      </c>
      <c r="E36" s="246">
        <f>'Нормы расхода'!M26</f>
        <v>14</v>
      </c>
      <c r="F36" s="246"/>
      <c r="G36" s="87">
        <f t="shared" si="2"/>
        <v>1</v>
      </c>
      <c r="H36" s="82">
        <f t="shared" si="0"/>
        <v>15</v>
      </c>
    </row>
    <row r="37" spans="1:8" ht="12.75" customHeight="1" outlineLevel="1">
      <c r="A37" s="83">
        <v>10</v>
      </c>
      <c r="B37" s="86" t="s">
        <v>88</v>
      </c>
      <c r="C37" s="93" t="s">
        <v>89</v>
      </c>
      <c r="D37" s="86" t="s">
        <v>6</v>
      </c>
      <c r="E37" s="246">
        <f>'Нормы расхода'!M26</f>
        <v>14</v>
      </c>
      <c r="F37" s="246"/>
      <c r="G37" s="87">
        <f t="shared" si="2"/>
        <v>1</v>
      </c>
      <c r="H37" s="82">
        <f t="shared" si="0"/>
        <v>15</v>
      </c>
    </row>
    <row r="38" spans="1:8" ht="12.75" customHeight="1" outlineLevel="1" thickBot="1">
      <c r="A38" s="94">
        <v>11</v>
      </c>
      <c r="B38" s="91" t="s">
        <v>90</v>
      </c>
      <c r="C38" s="95" t="s">
        <v>91</v>
      </c>
      <c r="D38" s="91" t="s">
        <v>92</v>
      </c>
      <c r="E38" s="251">
        <f>'Нормы расхода'!R4</f>
        <v>15</v>
      </c>
      <c r="F38" s="251"/>
      <c r="G38" s="87">
        <f>IF(E38&lt;7,CEILING('Нормы расхода'!Q4*115%/70,1)-E38,CEILING(E38*105%,1)-E38)</f>
        <v>1</v>
      </c>
      <c r="H38" s="82">
        <f t="shared" si="0"/>
        <v>16</v>
      </c>
    </row>
    <row r="39" spans="1:8" ht="12.75" customHeight="1" outlineLevel="1" thickBot="1">
      <c r="A39" s="213" t="s">
        <v>19</v>
      </c>
      <c r="B39" s="214"/>
      <c r="C39" s="214"/>
      <c r="D39" s="214"/>
      <c r="E39" s="214"/>
      <c r="F39" s="214"/>
      <c r="G39" s="214"/>
      <c r="H39" s="215"/>
    </row>
    <row r="40" spans="1:8" ht="12.75" customHeight="1" outlineLevel="1">
      <c r="A40" s="96">
        <v>1</v>
      </c>
      <c r="B40" s="97"/>
      <c r="C40" s="98" t="s">
        <v>21</v>
      </c>
      <c r="D40" s="97" t="s">
        <v>5</v>
      </c>
      <c r="E40" s="250">
        <f>'Нормы расхода'!D22</f>
        <v>65</v>
      </c>
      <c r="F40" s="250"/>
      <c r="G40" s="99">
        <f t="shared" ref="G40:G45" si="3">CEILING(E40*105%,1)-E40</f>
        <v>4</v>
      </c>
      <c r="H40" s="100">
        <f>SUM(E40:G40)</f>
        <v>69</v>
      </c>
    </row>
    <row r="41" spans="1:8" ht="12.75" customHeight="1" outlineLevel="1">
      <c r="A41" s="83">
        <v>2</v>
      </c>
      <c r="B41" s="86"/>
      <c r="C41" s="93" t="s">
        <v>22</v>
      </c>
      <c r="D41" s="86" t="s">
        <v>5</v>
      </c>
      <c r="E41" s="246"/>
      <c r="F41" s="246"/>
      <c r="G41" s="87">
        <f t="shared" si="3"/>
        <v>0</v>
      </c>
      <c r="H41" s="101">
        <f t="shared" ref="H41:H45" si="4">SUM(E41:G41)</f>
        <v>0</v>
      </c>
    </row>
    <row r="42" spans="1:8" ht="15" customHeight="1">
      <c r="A42" s="83">
        <v>3</v>
      </c>
      <c r="B42" s="86"/>
      <c r="C42" s="93" t="s">
        <v>23</v>
      </c>
      <c r="D42" s="86" t="s">
        <v>5</v>
      </c>
      <c r="E42" s="246"/>
      <c r="F42" s="246"/>
      <c r="G42" s="87">
        <f t="shared" si="3"/>
        <v>0</v>
      </c>
      <c r="H42" s="101">
        <f t="shared" si="4"/>
        <v>0</v>
      </c>
    </row>
    <row r="43" spans="1:8">
      <c r="A43" s="83">
        <v>4</v>
      </c>
      <c r="B43" s="86"/>
      <c r="C43" s="93" t="s">
        <v>44</v>
      </c>
      <c r="D43" s="86" t="s">
        <v>5</v>
      </c>
      <c r="E43" s="247">
        <f>'Нормы расхода'!D20</f>
        <v>21</v>
      </c>
      <c r="F43" s="248"/>
      <c r="G43" s="87">
        <f t="shared" si="3"/>
        <v>2</v>
      </c>
      <c r="H43" s="101">
        <f t="shared" si="4"/>
        <v>23</v>
      </c>
    </row>
    <row r="44" spans="1:8" ht="15" customHeight="1">
      <c r="A44" s="83">
        <v>5</v>
      </c>
      <c r="B44" s="86"/>
      <c r="C44" s="93" t="s">
        <v>24</v>
      </c>
      <c r="D44" s="86" t="s">
        <v>5</v>
      </c>
      <c r="E44" s="246"/>
      <c r="F44" s="246"/>
      <c r="G44" s="87">
        <f t="shared" si="3"/>
        <v>0</v>
      </c>
      <c r="H44" s="101">
        <f t="shared" si="4"/>
        <v>0</v>
      </c>
    </row>
    <row r="45" spans="1:8" ht="15.75" thickBot="1">
      <c r="A45" s="102">
        <v>6</v>
      </c>
      <c r="B45" s="103"/>
      <c r="C45" s="104" t="s">
        <v>20</v>
      </c>
      <c r="D45" s="103" t="s">
        <v>5</v>
      </c>
      <c r="E45" s="249"/>
      <c r="F45" s="249"/>
      <c r="G45" s="105">
        <f t="shared" si="3"/>
        <v>0</v>
      </c>
      <c r="H45" s="106">
        <f t="shared" si="4"/>
        <v>0</v>
      </c>
    </row>
    <row r="46" spans="1:8" ht="15.75" thickBot="1">
      <c r="A46" s="270" t="s">
        <v>99</v>
      </c>
      <c r="B46" s="271"/>
      <c r="C46" s="271"/>
      <c r="D46" s="271"/>
      <c r="E46" s="271"/>
      <c r="F46" s="271"/>
      <c r="G46" s="271"/>
      <c r="H46" s="272"/>
    </row>
    <row r="47" spans="1:8" ht="16.5" customHeight="1">
      <c r="A47" s="96">
        <v>1</v>
      </c>
      <c r="B47" s="97"/>
      <c r="C47" s="98" t="s">
        <v>100</v>
      </c>
      <c r="D47" s="97" t="s">
        <v>6</v>
      </c>
      <c r="E47" s="250"/>
      <c r="F47" s="250"/>
      <c r="G47" s="192">
        <f t="shared" ref="G47:G51" si="5">CEILING(E47*105%,1)-E47</f>
        <v>0</v>
      </c>
      <c r="H47" s="100">
        <f>SUM(E47:G47)</f>
        <v>0</v>
      </c>
    </row>
    <row r="48" spans="1:8" ht="15" customHeight="1">
      <c r="A48" s="83">
        <v>2</v>
      </c>
      <c r="B48" s="86"/>
      <c r="C48" s="93" t="s">
        <v>101</v>
      </c>
      <c r="D48" s="86" t="s">
        <v>6</v>
      </c>
      <c r="E48" s="246"/>
      <c r="F48" s="246"/>
      <c r="G48" s="190">
        <f t="shared" si="5"/>
        <v>0</v>
      </c>
      <c r="H48" s="101">
        <f t="shared" ref="H48:H50" si="6">SUM(E48:G48)</f>
        <v>0</v>
      </c>
    </row>
    <row r="49" spans="1:8">
      <c r="A49" s="78">
        <v>3</v>
      </c>
      <c r="B49" s="86"/>
      <c r="C49" s="93" t="s">
        <v>102</v>
      </c>
      <c r="D49" s="86" t="s">
        <v>92</v>
      </c>
      <c r="E49" s="246"/>
      <c r="F49" s="246"/>
      <c r="G49" s="190">
        <f t="shared" si="5"/>
        <v>0</v>
      </c>
      <c r="H49" s="101">
        <f t="shared" si="6"/>
        <v>0</v>
      </c>
    </row>
    <row r="50" spans="1:8">
      <c r="A50" s="83">
        <v>4</v>
      </c>
      <c r="B50" s="86"/>
      <c r="C50" s="93" t="s">
        <v>103</v>
      </c>
      <c r="D50" s="86" t="s">
        <v>6</v>
      </c>
      <c r="E50" s="246"/>
      <c r="F50" s="246"/>
      <c r="G50" s="190">
        <f t="shared" si="5"/>
        <v>0</v>
      </c>
      <c r="H50" s="101">
        <f t="shared" si="6"/>
        <v>0</v>
      </c>
    </row>
    <row r="51" spans="1:8" ht="15.75" thickBot="1">
      <c r="A51" s="196">
        <v>5</v>
      </c>
      <c r="B51" s="103"/>
      <c r="C51" s="104" t="s">
        <v>104</v>
      </c>
      <c r="D51" s="103" t="s">
        <v>6</v>
      </c>
      <c r="E51" s="249"/>
      <c r="F51" s="249"/>
      <c r="G51" s="191">
        <f t="shared" si="5"/>
        <v>0</v>
      </c>
      <c r="H51" s="106">
        <f t="shared" ref="H51" si="7">SUM(E51:G51)</f>
        <v>0</v>
      </c>
    </row>
    <row r="52" spans="1:8">
      <c r="A52" s="107"/>
      <c r="B52" s="107"/>
      <c r="C52" s="107"/>
      <c r="D52" s="108"/>
      <c r="E52" s="109"/>
      <c r="F52" s="109"/>
      <c r="G52" s="110"/>
      <c r="H52" s="111"/>
    </row>
    <row r="53" spans="1:8">
      <c r="A53" s="241"/>
      <c r="B53" s="241"/>
      <c r="C53" s="241"/>
      <c r="D53" s="241"/>
      <c r="E53" s="241"/>
      <c r="F53" s="241"/>
      <c r="G53" s="241"/>
      <c r="H53" s="241"/>
    </row>
    <row r="54" spans="1:8" ht="15" customHeight="1">
      <c r="A54" s="240"/>
      <c r="B54" s="240"/>
      <c r="C54" s="240"/>
      <c r="D54" s="240"/>
      <c r="E54" s="242"/>
      <c r="F54" s="242"/>
      <c r="G54" s="242"/>
      <c r="H54" s="242"/>
    </row>
    <row r="55" spans="1:8">
      <c r="A55" s="240"/>
      <c r="B55" s="240"/>
      <c r="C55" s="240"/>
      <c r="D55" s="240"/>
      <c r="E55" s="242"/>
      <c r="F55" s="242"/>
      <c r="G55" s="242"/>
      <c r="H55" s="242"/>
    </row>
    <row r="56" spans="1:8">
      <c r="A56" s="240"/>
      <c r="B56" s="240"/>
      <c r="C56" s="240"/>
      <c r="D56" s="240"/>
      <c r="E56" s="242"/>
      <c r="F56" s="242"/>
      <c r="G56" s="242"/>
      <c r="H56" s="242"/>
    </row>
    <row r="57" spans="1:8">
      <c r="A57" s="240"/>
      <c r="B57" s="240"/>
      <c r="C57" s="240"/>
      <c r="D57" s="240"/>
      <c r="E57" s="242"/>
      <c r="F57" s="242"/>
      <c r="G57" s="242"/>
      <c r="H57" s="242"/>
    </row>
    <row r="58" spans="1:8">
      <c r="E58" s="75"/>
      <c r="F58" s="75"/>
      <c r="G58" s="75"/>
      <c r="H58" s="75"/>
    </row>
    <row r="59" spans="1:8">
      <c r="A59" s="61"/>
      <c r="B59" s="61"/>
      <c r="C59" s="61"/>
      <c r="D59" s="61"/>
      <c r="E59" s="114"/>
      <c r="F59" s="114"/>
      <c r="G59" s="114"/>
      <c r="H59" s="114"/>
    </row>
    <row r="60" spans="1:8">
      <c r="A60" s="61"/>
      <c r="B60" s="61"/>
      <c r="C60" s="61"/>
      <c r="D60" s="61"/>
      <c r="E60" s="114"/>
      <c r="F60" s="114"/>
      <c r="G60" s="114"/>
      <c r="H60" s="114"/>
    </row>
    <row r="61" spans="1:8">
      <c r="A61" s="61"/>
      <c r="B61" s="61"/>
      <c r="C61" s="61"/>
      <c r="D61" s="61"/>
      <c r="E61" s="114"/>
      <c r="F61" s="114"/>
      <c r="G61" s="114"/>
      <c r="H61" s="114"/>
    </row>
    <row r="62" spans="1:8">
      <c r="A62" s="61"/>
      <c r="B62" s="61"/>
      <c r="C62" s="61"/>
      <c r="D62" s="61"/>
      <c r="E62" s="114"/>
      <c r="F62" s="114"/>
      <c r="G62" s="114"/>
      <c r="H62" s="114"/>
    </row>
  </sheetData>
  <sheetProtection formatColumns="0" selectLockedCells="1" selectUnlockedCells="1"/>
  <mergeCells count="62">
    <mergeCell ref="A6:C6"/>
    <mergeCell ref="D6:H6"/>
    <mergeCell ref="A1:H1"/>
    <mergeCell ref="A2:D2"/>
    <mergeCell ref="E2:H2"/>
    <mergeCell ref="A3:B3"/>
    <mergeCell ref="C3:E3"/>
    <mergeCell ref="G3:H3"/>
    <mergeCell ref="A4:E4"/>
    <mergeCell ref="F4:F5"/>
    <mergeCell ref="G4:H4"/>
    <mergeCell ref="A5:E5"/>
    <mergeCell ref="G5:H5"/>
    <mergeCell ref="E18:F18"/>
    <mergeCell ref="A7:H7"/>
    <mergeCell ref="E8:F8"/>
    <mergeCell ref="A9:H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A27:H27"/>
    <mergeCell ref="E28:F28"/>
    <mergeCell ref="E29:F29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A39:H39"/>
    <mergeCell ref="E40:F40"/>
    <mergeCell ref="E41:F41"/>
    <mergeCell ref="A54:D57"/>
    <mergeCell ref="E54:H57"/>
    <mergeCell ref="E43:F43"/>
    <mergeCell ref="E44:F44"/>
    <mergeCell ref="E45:F45"/>
    <mergeCell ref="A46:H46"/>
    <mergeCell ref="E47:F47"/>
    <mergeCell ref="E48:F48"/>
    <mergeCell ref="E49:F49"/>
    <mergeCell ref="E50:F50"/>
    <mergeCell ref="E51:F51"/>
    <mergeCell ref="A53:D53"/>
    <mergeCell ref="E53:H53"/>
  </mergeCells>
  <conditionalFormatting sqref="E2:H2">
    <cfRule type="beginsWith" dxfId="20" priority="1" operator="beginsWith" text="Заполнить">
      <formula>LEFT(E2,LEN("Заполнить"))="Заполнить"</formula>
    </cfRule>
  </conditionalFormatting>
  <printOptions horizontalCentered="1"/>
  <pageMargins left="0.25" right="0.25" top="0.75" bottom="0.75" header="0.3" footer="0.3"/>
  <pageSetup paperSize="9" orientation="portrait" horizontalDpi="1200" verticalDpi="1200" r:id="rId1"/>
  <headerFooter differentFirst="1" alignWithMargins="0">
    <oddFooter xml:space="preserve">&amp;L&amp;P из &amp;N&amp;R&amp;"-,полужирный"&amp;14&amp;K00-044 </oddFooter>
  </headerFooter>
  <ignoredErrors>
    <ignoredError sqref="G14 G18 G22" formula="1"/>
  </ignoredErrors>
  <drawing r:id="rId2"/>
  <legacyDrawing r:id="rId3"/>
  <extLst xmlns:xr="http://schemas.microsoft.com/office/spreadsheetml/2014/revision"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3" id="{3764EC60-971D-4B25-A788-1CE46425E7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I2</xm:sqref>
        </x14:conditionalFormatting>
      </x14:conditionalFormattings>
    </ext>
    <ext uri="{CCE6A557-97BC-4b89-ADB6-D9C93CAAB3DF}">
      <x14:dataValidations xmlns:xm="http://schemas.microsoft.com/office/excel/2006/main" count="1">
        <x14:dataValidation type="list" showInputMessage="1" showErrorMessage="1" xr:uid="{00000000-0002-0000-0200-000000000000}">
          <x14:formula1>
            <xm:f>исходные!$A$1:$A$4</xm:f>
          </x14:formula1>
          <xm:sqref>D6:H6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AB28"/>
  <sheetViews>
    <sheetView tabSelected="1" zoomScale="90" zoomScaleNormal="90" workbookViewId="0">
      <selection activeCell="K12" sqref="K12"/>
    </sheetView>
  </sheetViews>
  <sheetFormatPr defaultRowHeight="15"/>
  <cols>
    <col min="1" max="1" width="2.7109375" customWidth="1"/>
    <col min="2" max="2" width="19.85546875" customWidth="1"/>
    <col min="3" max="3" width="12" customWidth="1"/>
    <col min="4" max="4" width="9.5703125" customWidth="1"/>
    <col min="5" max="5" width="11.85546875" customWidth="1"/>
    <col min="6" max="6" width="11.7109375" customWidth="1"/>
    <col min="7" max="7" width="11.42578125" customWidth="1"/>
    <col min="8" max="8" width="2.7109375" customWidth="1"/>
    <col min="9" max="9" width="8.85546875" customWidth="1"/>
    <col min="10" max="10" width="11.85546875" customWidth="1"/>
    <col min="11" max="11" width="12" customWidth="1"/>
    <col min="12" max="12" width="11.42578125" customWidth="1"/>
    <col min="13" max="13" width="9.5703125" customWidth="1"/>
    <col min="14" max="14" width="11" customWidth="1"/>
    <col min="15" max="15" width="2" style="126" customWidth="1"/>
    <col min="16" max="16" width="11.5703125" customWidth="1"/>
    <col min="17" max="17" width="12.42578125" customWidth="1"/>
    <col min="18" max="18" width="10.42578125" customWidth="1"/>
    <col min="19" max="19" width="10" customWidth="1"/>
    <col min="20" max="20" width="9.7109375" customWidth="1"/>
    <col min="21" max="21" width="9" customWidth="1"/>
    <col min="22" max="22" width="2.28515625" customWidth="1"/>
    <col min="23" max="23" width="9.28515625" customWidth="1"/>
    <col min="24" max="24" width="12" customWidth="1"/>
    <col min="25" max="25" width="9.42578125" customWidth="1"/>
    <col min="26" max="26" width="10.140625" customWidth="1"/>
    <col min="27" max="27" width="12" customWidth="1"/>
    <col min="28" max="28" width="10.42578125" customWidth="1"/>
    <col min="29" max="29" width="12.5703125" customWidth="1"/>
  </cols>
  <sheetData>
    <row r="1" spans="2:28" ht="15.75" thickBot="1"/>
    <row r="2" spans="2:28" ht="24" customHeight="1" thickBot="1">
      <c r="B2" s="273" t="s">
        <v>114</v>
      </c>
      <c r="C2" s="290"/>
      <c r="D2" s="274"/>
      <c r="F2" s="344" t="s">
        <v>115</v>
      </c>
      <c r="G2" s="345"/>
      <c r="H2" s="345"/>
      <c r="I2" s="345"/>
      <c r="J2" s="345"/>
      <c r="K2" s="345"/>
      <c r="L2" s="345"/>
      <c r="M2" s="346"/>
      <c r="P2" s="278" t="s">
        <v>59</v>
      </c>
      <c r="Q2" s="273" t="s">
        <v>112</v>
      </c>
      <c r="R2" s="274"/>
      <c r="T2" s="321" t="s">
        <v>113</v>
      </c>
      <c r="U2" s="322"/>
      <c r="Y2" s="332" t="s">
        <v>106</v>
      </c>
      <c r="Z2" s="333"/>
      <c r="AA2" s="333"/>
      <c r="AB2" s="334"/>
    </row>
    <row r="3" spans="2:28" ht="26.25" customHeight="1" thickBot="1">
      <c r="B3" s="173" t="s">
        <v>78</v>
      </c>
      <c r="C3" s="174" t="s">
        <v>110</v>
      </c>
      <c r="D3" s="175" t="s">
        <v>109</v>
      </c>
      <c r="F3" s="170" t="s">
        <v>58</v>
      </c>
      <c r="G3" s="171" t="s">
        <v>57</v>
      </c>
      <c r="H3" s="340" t="s">
        <v>56</v>
      </c>
      <c r="I3" s="341"/>
      <c r="J3" s="171" t="s">
        <v>53</v>
      </c>
      <c r="K3" s="171" t="s">
        <v>52</v>
      </c>
      <c r="L3" s="172" t="s">
        <v>51</v>
      </c>
      <c r="M3" s="338">
        <f>ROUNDUP((SUM(F4,G4,H4,J4,K4,L4)*1.38/C6*100)-100,0)</f>
        <v>13</v>
      </c>
      <c r="P3" s="279"/>
      <c r="Q3" s="203" t="s">
        <v>123</v>
      </c>
      <c r="R3" s="136" t="s">
        <v>64</v>
      </c>
      <c r="T3" s="70" t="s">
        <v>66</v>
      </c>
      <c r="U3" s="69">
        <f>ROUNDUP(C6/100,0)</f>
        <v>2</v>
      </c>
      <c r="Y3" s="323" t="s">
        <v>108</v>
      </c>
      <c r="Z3" s="324"/>
      <c r="AA3" s="324"/>
      <c r="AB3" s="325"/>
    </row>
    <row r="4" spans="2:28" ht="15.75" customHeight="1" thickBot="1">
      <c r="B4" s="152">
        <v>164.77</v>
      </c>
      <c r="C4" s="153">
        <v>6.62</v>
      </c>
      <c r="D4" s="154">
        <v>13.32</v>
      </c>
      <c r="F4" s="155">
        <v>92</v>
      </c>
      <c r="G4" s="156">
        <v>58</v>
      </c>
      <c r="H4" s="342"/>
      <c r="I4" s="343"/>
      <c r="J4" s="156"/>
      <c r="K4" s="156"/>
      <c r="L4" s="157"/>
      <c r="M4" s="339"/>
      <c r="P4" s="280"/>
      <c r="Q4" s="204">
        <f>SUM(F4:L4)*7</f>
        <v>1050</v>
      </c>
      <c r="R4" s="205">
        <f>CEILING(Q4/70,1)</f>
        <v>15</v>
      </c>
      <c r="T4" s="138" t="s">
        <v>65</v>
      </c>
      <c r="U4" s="139">
        <f>ROUNDUP(C6/500,0)</f>
        <v>1</v>
      </c>
      <c r="Y4" s="326" t="s">
        <v>107</v>
      </c>
      <c r="Z4" s="327"/>
      <c r="AA4" s="327"/>
      <c r="AB4" s="328"/>
    </row>
    <row r="5" spans="2:28" ht="15.75" thickBot="1">
      <c r="C5" s="72"/>
      <c r="D5" s="71"/>
      <c r="F5" s="275"/>
      <c r="G5" s="276"/>
      <c r="H5" s="276"/>
      <c r="I5" s="276"/>
      <c r="J5" s="276"/>
      <c r="K5" s="276"/>
      <c r="L5" s="277"/>
      <c r="Y5" s="326"/>
      <c r="Z5" s="327"/>
      <c r="AA5" s="327"/>
      <c r="AB5" s="328"/>
    </row>
    <row r="6" spans="2:28" ht="15.75" thickBot="1">
      <c r="B6" s="73" t="s">
        <v>77</v>
      </c>
      <c r="C6" s="167">
        <f>SUM(B4:D4)</f>
        <v>184.71</v>
      </c>
      <c r="F6" s="200">
        <f>CEILING(F4,2)</f>
        <v>92</v>
      </c>
      <c r="G6" s="201">
        <f>CEILING(G4,2)</f>
        <v>58</v>
      </c>
      <c r="H6" s="347">
        <f>CEILING(H4,2)</f>
        <v>0</v>
      </c>
      <c r="I6" s="348"/>
      <c r="J6" s="201">
        <f>CEILING(J4,2)</f>
        <v>0</v>
      </c>
      <c r="K6" s="201">
        <f>CEILING(K4,2)</f>
        <v>0</v>
      </c>
      <c r="L6" s="202">
        <f>CEILING(L4,2)</f>
        <v>0</v>
      </c>
      <c r="Y6" s="329"/>
      <c r="Z6" s="330"/>
      <c r="AA6" s="330"/>
      <c r="AB6" s="331"/>
    </row>
    <row r="7" spans="2:28">
      <c r="O7" s="134"/>
      <c r="P7" s="71"/>
    </row>
    <row r="8" spans="2:28" ht="15.75" thickBot="1"/>
    <row r="9" spans="2:28" ht="15.75" thickBot="1">
      <c r="B9" s="291"/>
      <c r="C9" s="349" t="s">
        <v>116</v>
      </c>
      <c r="D9" s="350"/>
      <c r="E9" s="350"/>
      <c r="F9" s="350"/>
      <c r="G9" s="351"/>
      <c r="J9" s="301" t="s">
        <v>117</v>
      </c>
      <c r="K9" s="302"/>
      <c r="L9" s="302"/>
      <c r="M9" s="302"/>
      <c r="N9" s="303"/>
      <c r="Q9" s="293" t="s">
        <v>118</v>
      </c>
      <c r="R9" s="294"/>
      <c r="S9" s="294"/>
      <c r="T9" s="294"/>
      <c r="U9" s="295"/>
      <c r="X9" s="313" t="s">
        <v>119</v>
      </c>
      <c r="Y9" s="314"/>
      <c r="Z9" s="314"/>
      <c r="AA9" s="314"/>
      <c r="AB9" s="315"/>
    </row>
    <row r="10" spans="2:28" ht="33.75">
      <c r="B10" s="292"/>
      <c r="C10" s="177" t="s">
        <v>63</v>
      </c>
      <c r="D10" s="176" t="s">
        <v>72</v>
      </c>
      <c r="E10" s="176" t="s">
        <v>62</v>
      </c>
      <c r="F10" s="176" t="s">
        <v>71</v>
      </c>
      <c r="G10" s="150" t="s">
        <v>60</v>
      </c>
      <c r="J10" s="178" t="s">
        <v>63</v>
      </c>
      <c r="K10" s="179" t="s">
        <v>72</v>
      </c>
      <c r="L10" s="179" t="s">
        <v>62</v>
      </c>
      <c r="M10" s="179" t="s">
        <v>71</v>
      </c>
      <c r="N10" s="151" t="s">
        <v>60</v>
      </c>
      <c r="Q10" s="180" t="s">
        <v>63</v>
      </c>
      <c r="R10" s="181" t="s">
        <v>72</v>
      </c>
      <c r="S10" s="181" t="s">
        <v>62</v>
      </c>
      <c r="T10" s="181" t="s">
        <v>71</v>
      </c>
      <c r="U10" s="169" t="s">
        <v>60</v>
      </c>
      <c r="X10" s="183" t="s">
        <v>63</v>
      </c>
      <c r="Y10" s="182" t="s">
        <v>72</v>
      </c>
      <c r="Z10" s="182" t="s">
        <v>62</v>
      </c>
      <c r="AA10" s="182" t="s">
        <v>71</v>
      </c>
      <c r="AB10" s="164" t="s">
        <v>60</v>
      </c>
    </row>
    <row r="11" spans="2:28">
      <c r="B11" s="67" t="s">
        <v>70</v>
      </c>
      <c r="C11" s="160">
        <v>19390</v>
      </c>
      <c r="D11" s="159"/>
      <c r="E11" s="159">
        <v>6380</v>
      </c>
      <c r="F11" s="159">
        <v>24900</v>
      </c>
      <c r="G11" s="55">
        <f>ROUNDUP(C11/2500+D11/5000+E11/2500+F11/5000,0)</f>
        <v>16</v>
      </c>
      <c r="H11" s="66"/>
      <c r="J11" s="158">
        <v>73160</v>
      </c>
      <c r="K11" s="159">
        <v>20785</v>
      </c>
      <c r="L11" s="159"/>
      <c r="M11" s="159">
        <v>40070</v>
      </c>
      <c r="N11" s="55">
        <f>ROUNDUP(J11/2500+K11/5000+L11/2500+M11/5000,0)</f>
        <v>42</v>
      </c>
      <c r="O11" s="127"/>
      <c r="Q11" s="158"/>
      <c r="R11" s="159"/>
      <c r="S11" s="159"/>
      <c r="T11" s="159"/>
      <c r="U11" s="55">
        <f>ROUNDUP(Q11/2500+R11/5000+S11/2500+T11/5000,0)</f>
        <v>0</v>
      </c>
      <c r="X11" s="158"/>
      <c r="Y11" s="159"/>
      <c r="Z11" s="159"/>
      <c r="AA11" s="159"/>
      <c r="AB11" s="55">
        <f>ROUNDUP(X11/2500+Y11/5000+Z11/2500+AA11/5000,0)</f>
        <v>0</v>
      </c>
    </row>
    <row r="12" spans="2:28">
      <c r="B12" s="140" t="s">
        <v>69</v>
      </c>
      <c r="C12" s="120">
        <f>C11</f>
        <v>19390</v>
      </c>
      <c r="D12" s="121">
        <f>D11</f>
        <v>0</v>
      </c>
      <c r="E12" s="121">
        <f>E11</f>
        <v>6380</v>
      </c>
      <c r="F12" s="121">
        <f>F11</f>
        <v>24900</v>
      </c>
      <c r="G12" s="141">
        <f>ROUNDUP(C12/4500+D12/9000+E12/4500+F12/9000,0)</f>
        <v>9</v>
      </c>
      <c r="H12" s="64"/>
      <c r="J12" s="122">
        <f>J11</f>
        <v>73160</v>
      </c>
      <c r="K12" s="121">
        <f>K11</f>
        <v>20785</v>
      </c>
      <c r="L12" s="121">
        <f>L11</f>
        <v>0</v>
      </c>
      <c r="M12" s="121">
        <f>M11</f>
        <v>40070</v>
      </c>
      <c r="N12" s="141">
        <f>ROUNDUP(J12/4500+K12/9000+L12/4500+M12/9000,0)</f>
        <v>24</v>
      </c>
      <c r="O12" s="128"/>
      <c r="Q12" s="122">
        <f>Q11</f>
        <v>0</v>
      </c>
      <c r="R12" s="121">
        <f>R11</f>
        <v>0</v>
      </c>
      <c r="S12" s="121">
        <f>S11</f>
        <v>0</v>
      </c>
      <c r="T12" s="121">
        <f>T11</f>
        <v>0</v>
      </c>
      <c r="U12" s="141">
        <f>ROUNDUP(Q12/4500+R12/9000+S12/4500+T12/9000,0)</f>
        <v>0</v>
      </c>
      <c r="X12" s="122">
        <f>X11</f>
        <v>0</v>
      </c>
      <c r="Y12" s="121">
        <f>Y11</f>
        <v>0</v>
      </c>
      <c r="Z12" s="121">
        <f>Z11</f>
        <v>0</v>
      </c>
      <c r="AA12" s="121">
        <f>AA11</f>
        <v>0</v>
      </c>
      <c r="AB12" s="145">
        <f>ROUNDUP(X12/4500+Y12/9000+Z12/4500+AA12/9000,0)</f>
        <v>0</v>
      </c>
    </row>
    <row r="13" spans="2:28" ht="15.75" thickBot="1">
      <c r="B13" s="148" t="s">
        <v>105</v>
      </c>
      <c r="C13" s="65">
        <f>C11</f>
        <v>19390</v>
      </c>
      <c r="D13" s="54">
        <f>D11</f>
        <v>0</v>
      </c>
      <c r="E13" s="54">
        <f>E11</f>
        <v>6380</v>
      </c>
      <c r="F13" s="54">
        <f>F11</f>
        <v>24900</v>
      </c>
      <c r="G13" s="149">
        <f>ROUNDUP(C13/3762+D13/7524+E13/3762+F13/7524,0)</f>
        <v>11</v>
      </c>
      <c r="J13" s="63">
        <f>J11</f>
        <v>73160</v>
      </c>
      <c r="K13" s="54">
        <f>K11</f>
        <v>20785</v>
      </c>
      <c r="L13" s="54">
        <f>L11</f>
        <v>0</v>
      </c>
      <c r="M13" s="54">
        <f>M11</f>
        <v>40070</v>
      </c>
      <c r="N13" s="149">
        <f>ROUNDUP(J13/3762+K13/7524+L13/3762+M13/7524,0)</f>
        <v>28</v>
      </c>
      <c r="Q13" s="63">
        <f>Q11</f>
        <v>0</v>
      </c>
      <c r="R13" s="54">
        <f>R11</f>
        <v>0</v>
      </c>
      <c r="S13" s="54">
        <f>S11</f>
        <v>0</v>
      </c>
      <c r="T13" s="54">
        <f>T11</f>
        <v>0</v>
      </c>
      <c r="U13" s="149">
        <f>ROUNDUP(Q13/3762+R13/7524+S13/3762+T13/7524,0)</f>
        <v>0</v>
      </c>
      <c r="X13" s="63">
        <f>X11</f>
        <v>0</v>
      </c>
      <c r="Y13" s="54">
        <f>Y11</f>
        <v>0</v>
      </c>
      <c r="Z13" s="54">
        <f>Z11</f>
        <v>0</v>
      </c>
      <c r="AA13" s="54">
        <f>AA11</f>
        <v>0</v>
      </c>
      <c r="AB13" s="149">
        <f>ROUNDUP(X13/3762+Y13/7524+Z13/3762+AA13/7524,0)</f>
        <v>0</v>
      </c>
    </row>
    <row r="14" spans="2:28" ht="15.75" thickBot="1"/>
    <row r="15" spans="2:28" s="61" customFormat="1" ht="15.75" thickBot="1">
      <c r="B15" s="316" t="s">
        <v>12</v>
      </c>
      <c r="C15" s="317"/>
      <c r="D15" s="317"/>
      <c r="E15" s="317"/>
      <c r="F15" s="317"/>
      <c r="G15" s="318"/>
      <c r="I15" s="283" t="s">
        <v>14</v>
      </c>
      <c r="J15" s="284"/>
      <c r="K15" s="284"/>
      <c r="L15" s="284"/>
      <c r="M15" s="284"/>
      <c r="N15" s="285"/>
      <c r="O15" s="129"/>
      <c r="P15" s="298" t="s">
        <v>40</v>
      </c>
      <c r="Q15" s="299"/>
      <c r="R15" s="299"/>
      <c r="S15" s="299"/>
      <c r="T15" s="299"/>
      <c r="U15" s="300"/>
      <c r="W15" s="335" t="s">
        <v>42</v>
      </c>
      <c r="X15" s="336"/>
      <c r="Y15" s="336"/>
      <c r="Z15" s="336"/>
      <c r="AA15" s="336"/>
      <c r="AB15" s="337"/>
    </row>
    <row r="16" spans="2:28" ht="33.75">
      <c r="B16" s="118"/>
      <c r="C16" s="184" t="s">
        <v>68</v>
      </c>
      <c r="D16" s="184" t="s">
        <v>67</v>
      </c>
      <c r="E16" s="119" t="s">
        <v>60</v>
      </c>
      <c r="F16" s="185" t="s">
        <v>75</v>
      </c>
      <c r="G16" s="186" t="s">
        <v>74</v>
      </c>
      <c r="I16" s="123"/>
      <c r="J16" s="171" t="s">
        <v>68</v>
      </c>
      <c r="K16" s="171" t="s">
        <v>67</v>
      </c>
      <c r="L16" s="116" t="s">
        <v>60</v>
      </c>
      <c r="M16" s="187" t="s">
        <v>75</v>
      </c>
      <c r="N16" s="188" t="s">
        <v>74</v>
      </c>
      <c r="O16" s="130"/>
      <c r="P16" s="58"/>
      <c r="Q16" s="184" t="s">
        <v>68</v>
      </c>
      <c r="R16" s="184" t="s">
        <v>67</v>
      </c>
      <c r="S16" s="124" t="s">
        <v>60</v>
      </c>
      <c r="T16" s="185" t="s">
        <v>75</v>
      </c>
      <c r="U16" s="186" t="s">
        <v>74</v>
      </c>
      <c r="W16" s="58"/>
      <c r="X16" s="184" t="s">
        <v>68</v>
      </c>
      <c r="Y16" s="184" t="s">
        <v>67</v>
      </c>
      <c r="Z16" s="124" t="s">
        <v>60</v>
      </c>
      <c r="AA16" s="185" t="s">
        <v>75</v>
      </c>
      <c r="AB16" s="186" t="s">
        <v>74</v>
      </c>
    </row>
    <row r="17" spans="2:28">
      <c r="B17" s="62" t="s">
        <v>66</v>
      </c>
      <c r="C17" s="9">
        <f>CEILING(F4,1)</f>
        <v>92</v>
      </c>
      <c r="D17" s="9">
        <f>C17*1.37865</f>
        <v>126.83579999999999</v>
      </c>
      <c r="E17" s="117">
        <f>ROUNDUP(D17/80,0)</f>
        <v>2</v>
      </c>
      <c r="F17" s="68">
        <f>ROUNDUP(D17/200,0)</f>
        <v>1</v>
      </c>
      <c r="G17" s="55">
        <f>ROUNDUP(D17/100,0)</f>
        <v>2</v>
      </c>
      <c r="I17" s="62" t="s">
        <v>66</v>
      </c>
      <c r="J17" s="9">
        <f>CEILING(G4,1)</f>
        <v>58</v>
      </c>
      <c r="K17" s="9">
        <f>J17*1.37865</f>
        <v>79.961699999999993</v>
      </c>
      <c r="L17" s="117">
        <f>ROUNDUP(K17/80,0)</f>
        <v>1</v>
      </c>
      <c r="M17" s="68">
        <f>ROUNDUP(K17/200,0)</f>
        <v>1</v>
      </c>
      <c r="N17" s="55">
        <f>ROUNDUP(K17/100,0)</f>
        <v>1</v>
      </c>
      <c r="O17" s="131"/>
      <c r="P17" s="62" t="s">
        <v>66</v>
      </c>
      <c r="Q17" s="9">
        <f>CEILING(H4,1)</f>
        <v>0</v>
      </c>
      <c r="R17" s="9">
        <f>Q17*1.37865</f>
        <v>0</v>
      </c>
      <c r="S17" s="68">
        <f>ROUNDUP(R17/80,0)</f>
        <v>0</v>
      </c>
      <c r="T17" s="68">
        <f>ROUNDUP(R17/200,0)</f>
        <v>0</v>
      </c>
      <c r="U17" s="55">
        <f>ROUNDUP(R17/100,0)</f>
        <v>0</v>
      </c>
      <c r="W17" s="62" t="s">
        <v>66</v>
      </c>
      <c r="X17" s="9">
        <f>CEILING(J4,1)</f>
        <v>0</v>
      </c>
      <c r="Y17" s="9">
        <f>X17*1.37865</f>
        <v>0</v>
      </c>
      <c r="Z17" s="68">
        <f>ROUNDUP(Y17/80,0)</f>
        <v>0</v>
      </c>
      <c r="AA17" s="68">
        <f>ROUNDUP(Y17/200,0)</f>
        <v>0</v>
      </c>
      <c r="AB17" s="55">
        <f>ROUNDUP(Y17/100,0)</f>
        <v>0</v>
      </c>
    </row>
    <row r="18" spans="2:28" ht="15.75" thickBot="1">
      <c r="B18" s="142" t="s">
        <v>65</v>
      </c>
      <c r="C18" s="54">
        <f>C17</f>
        <v>92</v>
      </c>
      <c r="D18" s="54">
        <f>D17</f>
        <v>126.83579999999999</v>
      </c>
      <c r="E18" s="143">
        <f>ROUNDUP(D18/250,0)</f>
        <v>1</v>
      </c>
      <c r="F18" s="143">
        <f>ROUNDUP(D18/500,0)</f>
        <v>1</v>
      </c>
      <c r="G18" s="139">
        <f>ROUNDUP(D18/250,0)</f>
        <v>1</v>
      </c>
      <c r="I18" s="142" t="s">
        <v>65</v>
      </c>
      <c r="J18" s="54">
        <f>J17</f>
        <v>58</v>
      </c>
      <c r="K18" s="54">
        <f>K17</f>
        <v>79.961699999999993</v>
      </c>
      <c r="L18" s="143">
        <f>ROUNDUP(K18/250,0)</f>
        <v>1</v>
      </c>
      <c r="M18" s="143">
        <f>ROUNDUP(K18/500,0)</f>
        <v>1</v>
      </c>
      <c r="N18" s="139">
        <f>ROUNDUP(K18/250,0)</f>
        <v>1</v>
      </c>
      <c r="O18" s="132"/>
      <c r="P18" s="142" t="s">
        <v>65</v>
      </c>
      <c r="Q18" s="54">
        <f>Q17</f>
        <v>0</v>
      </c>
      <c r="R18" s="54">
        <f>R17</f>
        <v>0</v>
      </c>
      <c r="S18" s="144">
        <f>ROUNDUP(R18/250,0)</f>
        <v>0</v>
      </c>
      <c r="T18" s="143">
        <f>ROUNDUP(R18/500,0)</f>
        <v>0</v>
      </c>
      <c r="U18" s="139">
        <f>ROUNDUP(R18/250,0)</f>
        <v>0</v>
      </c>
      <c r="W18" s="142" t="s">
        <v>65</v>
      </c>
      <c r="X18" s="54">
        <f>X17</f>
        <v>0</v>
      </c>
      <c r="Y18" s="54">
        <f>Y17</f>
        <v>0</v>
      </c>
      <c r="Z18" s="144">
        <f>ROUNDUP(Y18/250,0)</f>
        <v>0</v>
      </c>
      <c r="AA18" s="144">
        <f>ROUNDUP(Y18/500,0)</f>
        <v>0</v>
      </c>
      <c r="AB18" s="139">
        <f>ROUNDUP(Y18/250,0)</f>
        <v>0</v>
      </c>
    </row>
    <row r="19" spans="2:28" ht="15.75" thickBot="1"/>
    <row r="20" spans="2:28" ht="15.75" thickBot="1">
      <c r="B20" s="296" t="s">
        <v>76</v>
      </c>
      <c r="C20" s="297"/>
      <c r="D20" s="168">
        <f>CEILING((D11+K11+R11+Y11)/1000,1)</f>
        <v>21</v>
      </c>
      <c r="E20" s="61"/>
      <c r="F20" s="304" t="s">
        <v>13</v>
      </c>
      <c r="G20" s="305"/>
      <c r="H20" s="61"/>
      <c r="K20" s="61"/>
      <c r="M20" s="306" t="s">
        <v>15</v>
      </c>
      <c r="N20" s="307"/>
      <c r="O20" s="133"/>
      <c r="R20" s="61"/>
      <c r="T20" s="298" t="s">
        <v>41</v>
      </c>
      <c r="U20" s="300"/>
      <c r="AA20" s="319" t="s">
        <v>43</v>
      </c>
      <c r="AB20" s="320"/>
    </row>
    <row r="21" spans="2:28" ht="15.75" thickBot="1">
      <c r="F21" s="60" t="s">
        <v>66</v>
      </c>
      <c r="G21" s="59">
        <f>ROUNDUP(G11/10,0)</f>
        <v>2</v>
      </c>
      <c r="M21" s="60" t="s">
        <v>66</v>
      </c>
      <c r="N21" s="59">
        <f>ROUNDUP(N11/10,0)</f>
        <v>5</v>
      </c>
      <c r="T21" s="60" t="s">
        <v>66</v>
      </c>
      <c r="U21" s="59">
        <f>ROUNDUP(U11/10,0)</f>
        <v>0</v>
      </c>
      <c r="AA21" s="60" t="s">
        <v>66</v>
      </c>
      <c r="AB21" s="59">
        <f>ROUNDUP(AB11/10,0)</f>
        <v>0</v>
      </c>
    </row>
    <row r="22" spans="2:28" ht="15.75" thickBot="1">
      <c r="B22" s="308" t="s">
        <v>73</v>
      </c>
      <c r="C22" s="309"/>
      <c r="D22" s="168">
        <f>CEILING((F11+M11+T11+AA11)/1000,1)</f>
        <v>65</v>
      </c>
      <c r="F22" s="142" t="s">
        <v>65</v>
      </c>
      <c r="G22" s="146">
        <f>ROUNDUP(G12/5,0)</f>
        <v>2</v>
      </c>
      <c r="M22" s="142" t="s">
        <v>65</v>
      </c>
      <c r="N22" s="146">
        <f>ROUNDUP(N12/5,0)</f>
        <v>5</v>
      </c>
      <c r="T22" s="142" t="s">
        <v>65</v>
      </c>
      <c r="U22" s="146">
        <f>ROUNDUP(U12/5,0)</f>
        <v>0</v>
      </c>
      <c r="AA22" s="142" t="s">
        <v>65</v>
      </c>
      <c r="AB22" s="146">
        <f>ROUNDUP(AB12/5,0)</f>
        <v>0</v>
      </c>
    </row>
    <row r="23" spans="2:28" ht="15.75" thickBot="1"/>
    <row r="24" spans="2:28" ht="15.75" thickBot="1">
      <c r="B24" s="273" t="s">
        <v>120</v>
      </c>
      <c r="C24" s="290"/>
      <c r="D24" s="274"/>
      <c r="F24" s="310" t="s">
        <v>121</v>
      </c>
      <c r="G24" s="311"/>
      <c r="H24" s="311"/>
      <c r="I24" s="312"/>
      <c r="K24" s="273" t="s">
        <v>122</v>
      </c>
      <c r="L24" s="290"/>
      <c r="M24" s="274"/>
      <c r="S24" s="125"/>
      <c r="T24" s="125"/>
      <c r="U24" s="125"/>
    </row>
    <row r="25" spans="2:28" ht="33.75">
      <c r="B25" s="123"/>
      <c r="C25" s="187" t="s">
        <v>63</v>
      </c>
      <c r="D25" s="165" t="s">
        <v>60</v>
      </c>
      <c r="E25" s="71"/>
      <c r="F25" s="123"/>
      <c r="G25" s="187" t="s">
        <v>62</v>
      </c>
      <c r="H25" s="286" t="s">
        <v>60</v>
      </c>
      <c r="I25" s="287"/>
      <c r="K25" s="58"/>
      <c r="L25" s="185" t="s">
        <v>61</v>
      </c>
      <c r="M25" s="57" t="s">
        <v>60</v>
      </c>
    </row>
    <row r="26" spans="2:28" ht="30.75" thickBot="1">
      <c r="B26" s="56" t="s">
        <v>55</v>
      </c>
      <c r="C26" s="9">
        <f>C11+J11+Q11+X11</f>
        <v>92550</v>
      </c>
      <c r="D26" s="59">
        <f>ROUNDUP(C26/3030,0)</f>
        <v>31</v>
      </c>
      <c r="E26" s="166"/>
      <c r="F26" s="56" t="s">
        <v>80</v>
      </c>
      <c r="G26" s="9">
        <f>E11+L11+S11+Z11</f>
        <v>6380</v>
      </c>
      <c r="H26" s="288">
        <f>ROUNDUP(G26/3030,0)</f>
        <v>3</v>
      </c>
      <c r="I26" s="289"/>
      <c r="K26" s="147" t="s">
        <v>54</v>
      </c>
      <c r="L26" s="161">
        <v>41400</v>
      </c>
      <c r="M26" s="146">
        <f>ROUNDUP(L26/3030,0)</f>
        <v>14</v>
      </c>
    </row>
    <row r="27" spans="2:28" ht="30.75" thickBot="1">
      <c r="B27" s="142" t="s">
        <v>125</v>
      </c>
      <c r="C27" s="54">
        <f>C26</f>
        <v>92550</v>
      </c>
      <c r="D27" s="146">
        <f>ROUNDUP(C27/3030,0)</f>
        <v>31</v>
      </c>
      <c r="E27" s="71"/>
      <c r="F27" s="147" t="s">
        <v>128</v>
      </c>
      <c r="G27" s="54">
        <f>G26</f>
        <v>6380</v>
      </c>
      <c r="H27" s="281">
        <f>ROUNDUP(G27/2730,0)</f>
        <v>3</v>
      </c>
      <c r="I27" s="282"/>
    </row>
    <row r="28" spans="2:28" ht="33.75" customHeight="1"/>
  </sheetData>
  <mergeCells count="34">
    <mergeCell ref="X9:AB9"/>
    <mergeCell ref="B15:G15"/>
    <mergeCell ref="B2:D2"/>
    <mergeCell ref="AA20:AB20"/>
    <mergeCell ref="T2:U2"/>
    <mergeCell ref="Y3:AB3"/>
    <mergeCell ref="Y4:AB6"/>
    <mergeCell ref="Y2:AB2"/>
    <mergeCell ref="W15:AB15"/>
    <mergeCell ref="M3:M4"/>
    <mergeCell ref="H3:I3"/>
    <mergeCell ref="H4:I4"/>
    <mergeCell ref="F2:M2"/>
    <mergeCell ref="H6:I6"/>
    <mergeCell ref="T20:U20"/>
    <mergeCell ref="C9:G9"/>
    <mergeCell ref="B9:B10"/>
    <mergeCell ref="Q9:U9"/>
    <mergeCell ref="B20:C20"/>
    <mergeCell ref="P15:U15"/>
    <mergeCell ref="B24:D24"/>
    <mergeCell ref="J9:N9"/>
    <mergeCell ref="F20:G20"/>
    <mergeCell ref="M20:N20"/>
    <mergeCell ref="B22:C22"/>
    <mergeCell ref="F24:I24"/>
    <mergeCell ref="Q2:R2"/>
    <mergeCell ref="F5:L5"/>
    <mergeCell ref="P2:P4"/>
    <mergeCell ref="H27:I27"/>
    <mergeCell ref="I15:N15"/>
    <mergeCell ref="H25:I25"/>
    <mergeCell ref="H26:I26"/>
    <mergeCell ref="K24:M24"/>
  </mergeCells>
  <conditionalFormatting sqref="F6">
    <cfRule type="cellIs" dxfId="19" priority="157" operator="greaterThan">
      <formula>0</formula>
    </cfRule>
  </conditionalFormatting>
  <conditionalFormatting sqref="G6">
    <cfRule type="cellIs" dxfId="18" priority="156" operator="greaterThan">
      <formula>0</formula>
    </cfRule>
  </conditionalFormatting>
  <conditionalFormatting sqref="H6">
    <cfRule type="cellIs" dxfId="17" priority="107" operator="greaterThan">
      <formula>0</formula>
    </cfRule>
  </conditionalFormatting>
  <conditionalFormatting sqref="J6">
    <cfRule type="cellIs" dxfId="16" priority="154" operator="greaterThan">
      <formula>0</formula>
    </cfRule>
  </conditionalFormatting>
  <conditionalFormatting sqref="K6">
    <cfRule type="cellIs" dxfId="15" priority="153" operator="greaterThan">
      <formula>0</formula>
    </cfRule>
  </conditionalFormatting>
  <conditionalFormatting sqref="L6">
    <cfRule type="cellIs" dxfId="14" priority="43" operator="greaterThan">
      <formula>0</formula>
    </cfRule>
  </conditionalFormatting>
  <conditionalFormatting sqref="U3 G11 E17:G17 L17:N17 S17:U17 Z17:AB17 AB11 U11 AB21 U21 N21 G21 H26">
    <cfRule type="cellIs" dxfId="13" priority="30" operator="greaterThan">
      <formula>0</formula>
    </cfRule>
  </conditionalFormatting>
  <conditionalFormatting sqref="U4 G12 N12 U12 AB12 Z18:AB18 S18:U18 L18:N18 E18:G18 G22 M26 N22 U22 AB22">
    <cfRule type="cellIs" dxfId="12" priority="29" operator="greaterThan">
      <formula>0</formula>
    </cfRule>
  </conditionalFormatting>
  <conditionalFormatting sqref="G13 N13 U13 AB13">
    <cfRule type="cellIs" dxfId="11" priority="24" operator="greaterThan">
      <formula>0</formula>
    </cfRule>
  </conditionalFormatting>
  <conditionalFormatting sqref="C6">
    <cfRule type="cellIs" dxfId="10" priority="23" operator="greaterThan">
      <formula>0</formula>
    </cfRule>
  </conditionalFormatting>
  <conditionalFormatting sqref="D20">
    <cfRule type="cellIs" dxfId="9" priority="18" operator="greaterThan">
      <formula>0</formula>
    </cfRule>
  </conditionalFormatting>
  <conditionalFormatting sqref="D22">
    <cfRule type="cellIs" dxfId="8" priority="17" operator="greaterThan">
      <formula>0</formula>
    </cfRule>
  </conditionalFormatting>
  <conditionalFormatting sqref="M3:M4">
    <cfRule type="cellIs" dxfId="7" priority="8" operator="lessThan">
      <formula>0</formula>
    </cfRule>
    <cfRule type="cellIs" dxfId="6" priority="9" operator="greaterThan">
      <formula>15</formula>
    </cfRule>
    <cfRule type="colorScale" priority="14">
      <colorScale>
        <cfvo type="num" val="5"/>
        <cfvo type="num" val="10"/>
        <cfvo type="num" val="20"/>
        <color rgb="FFA9DBB6"/>
        <color rgb="FFFFF2AF"/>
        <color rgb="FFFCB6B8"/>
      </colorScale>
    </cfRule>
    <cfRule type="cellIs" dxfId="5" priority="16" operator="between">
      <formula>0</formula>
      <formula>15</formula>
    </cfRule>
  </conditionalFormatting>
  <conditionalFormatting sqref="N11">
    <cfRule type="cellIs" dxfId="4" priority="7" operator="greaterThan">
      <formula>0</formula>
    </cfRule>
  </conditionalFormatting>
  <conditionalFormatting sqref="R4">
    <cfRule type="cellIs" dxfId="3" priority="4" operator="greaterThan">
      <formula>0</formula>
    </cfRule>
  </conditionalFormatting>
  <conditionalFormatting sqref="D26">
    <cfRule type="cellIs" dxfId="2" priority="3" operator="greaterThan">
      <formula>0</formula>
    </cfRule>
  </conditionalFormatting>
  <conditionalFormatting sqref="D27">
    <cfRule type="cellIs" dxfId="1" priority="2" operator="greaterThan">
      <formula>0</formula>
    </cfRule>
  </conditionalFormatting>
  <conditionalFormatting sqref="H2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RowHeight="15"/>
  <cols>
    <col min="1" max="1" width="45.5703125" bestFit="1" customWidth="1"/>
  </cols>
  <sheetData>
    <row r="1" spans="1:1">
      <c r="A1" t="s">
        <v>79</v>
      </c>
    </row>
    <row r="2" spans="1:1">
      <c r="A2" t="s">
        <v>26</v>
      </c>
    </row>
    <row r="3" spans="1:1">
      <c r="A3" t="s">
        <v>29</v>
      </c>
    </row>
    <row r="4" spans="1:1">
      <c r="A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 14 мм брус</vt:lpstr>
      <vt:lpstr>СП 16 мм брус</vt:lpstr>
      <vt:lpstr>СП 16 мм металл</vt:lpstr>
      <vt:lpstr>Нормы расхода</vt:lpstr>
      <vt:lpstr>исходные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 Ирина</dc:creator>
  <cp:lastModifiedBy>HP</cp:lastModifiedBy>
  <cp:lastPrinted>2018-07-20T12:59:07Z</cp:lastPrinted>
  <dcterms:created xsi:type="dcterms:W3CDTF">2017-02-08T16:45:35Z</dcterms:created>
  <dcterms:modified xsi:type="dcterms:W3CDTF">2020-04-10T21:12:50Z</dcterms:modified>
</cp:coreProperties>
</file>